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12105" activeTab="0"/>
  </bookViews>
  <sheets>
    <sheet name="Mondial 2010" sheetId="1" r:id="rId1"/>
    <sheet name="Tirage" sheetId="2" r:id="rId2"/>
  </sheets>
  <definedNames>
    <definedName name="_xlnm.Print_Area" localSheetId="0">'Mondial 2010'!$D$3:$FX$65</definedName>
  </definedNames>
  <calcPr fullCalcOnLoad="1"/>
</workbook>
</file>

<file path=xl/sharedStrings.xml><?xml version="1.0" encoding="utf-8"?>
<sst xmlns="http://schemas.openxmlformats.org/spreadsheetml/2006/main" count="533" uniqueCount="143">
  <si>
    <t>Match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</si>
  <si>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</si>
  <si>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</si>
  <si>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</si>
  <si>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</si>
  <si>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</si>
  <si>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</si>
  <si>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</si>
  <si>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</si>
  <si>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A1</t>
  </si>
  <si>
    <t>A2</t>
  </si>
  <si>
    <t>Date</t>
  </si>
  <si>
    <t>Stade</t>
  </si>
  <si>
    <t>Heure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</si>
  <si>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</si>
  <si>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</si>
  <si>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</si>
  <si>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</si>
  <si>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</si>
  <si>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</si>
  <si>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</si>
  <si>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</si>
  <si>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</si>
  <si>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</si>
  <si>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</si>
  <si>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</si>
  <si>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</si>
  <si>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</si>
  <si>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Afrique du Sud</t>
  </si>
  <si>
    <t>groupe A</t>
  </si>
  <si>
    <t>Algérie</t>
  </si>
  <si>
    <t>Allemagne</t>
  </si>
  <si>
    <t>France</t>
  </si>
  <si>
    <t>Angleterre</t>
  </si>
  <si>
    <t>A3</t>
  </si>
  <si>
    <t>Italie</t>
  </si>
  <si>
    <t>Argentine</t>
  </si>
  <si>
    <t>A4</t>
  </si>
  <si>
    <t>Uruguay</t>
  </si>
  <si>
    <t>Australie</t>
  </si>
  <si>
    <t>groupe B</t>
  </si>
  <si>
    <t>Brésil</t>
  </si>
  <si>
    <t>Cameroun</t>
  </si>
  <si>
    <t>Chili</t>
  </si>
  <si>
    <t>B3</t>
  </si>
  <si>
    <t>Côte d'Ivoire</t>
  </si>
  <si>
    <t>B4</t>
  </si>
  <si>
    <t>Danemark</t>
  </si>
  <si>
    <t>groupeC</t>
  </si>
  <si>
    <t>Espagne</t>
  </si>
  <si>
    <t>C3</t>
  </si>
  <si>
    <t>Ghana</t>
  </si>
  <si>
    <t>C4</t>
  </si>
  <si>
    <t>Grèce</t>
  </si>
  <si>
    <t>groupe D</t>
  </si>
  <si>
    <t>Honduras</t>
  </si>
  <si>
    <t>Japon</t>
  </si>
  <si>
    <t>D3</t>
  </si>
  <si>
    <t>Mexique</t>
  </si>
  <si>
    <t>D4</t>
  </si>
  <si>
    <t>Nigeria</t>
  </si>
  <si>
    <t>groupe E</t>
  </si>
  <si>
    <t>Nouvelle-Zélande</t>
  </si>
  <si>
    <t>Paraguay</t>
  </si>
  <si>
    <t>Pays-Bas</t>
  </si>
  <si>
    <t>E3</t>
  </si>
  <si>
    <t>Portugal</t>
  </si>
  <si>
    <t>E4</t>
  </si>
  <si>
    <t>RDP Corée</t>
  </si>
  <si>
    <t>groupe F</t>
  </si>
  <si>
    <t>République de Corée</t>
  </si>
  <si>
    <t>Serbie</t>
  </si>
  <si>
    <t>Slovaquie</t>
  </si>
  <si>
    <t>F3</t>
  </si>
  <si>
    <t>Slovénie</t>
  </si>
  <si>
    <t>F4</t>
  </si>
  <si>
    <t>Suisse</t>
  </si>
  <si>
    <t>groupe G</t>
  </si>
  <si>
    <t>G3</t>
  </si>
  <si>
    <t>G4</t>
  </si>
  <si>
    <t>groupe H</t>
  </si>
  <si>
    <t>H3</t>
  </si>
  <si>
    <t>H4</t>
  </si>
  <si>
    <t>Pts</t>
  </si>
  <si>
    <t>Dif.but</t>
  </si>
  <si>
    <t>Buts</t>
  </si>
  <si>
    <t>2P1</t>
  </si>
  <si>
    <t>2P2</t>
  </si>
  <si>
    <t>3P2</t>
  </si>
  <si>
    <t>3P1</t>
  </si>
  <si>
    <t>4P1</t>
  </si>
  <si>
    <t>2P3</t>
  </si>
  <si>
    <t>non joué</t>
  </si>
  <si>
    <t>perdu</t>
  </si>
  <si>
    <t>nul</t>
  </si>
  <si>
    <t>gagné</t>
  </si>
  <si>
    <t>Rang pts</t>
  </si>
  <si>
    <t>Rang db</t>
  </si>
  <si>
    <t>Rang buts</t>
  </si>
  <si>
    <t>U.S.A</t>
  </si>
  <si>
    <t>Johannesburg</t>
  </si>
  <si>
    <t>Le Cap</t>
  </si>
  <si>
    <t>Tshwane/Pretoria</t>
  </si>
  <si>
    <t>Polokwane</t>
  </si>
  <si>
    <t>Rustenburg</t>
  </si>
  <si>
    <t>Mangaung/Bloemfontein</t>
  </si>
  <si>
    <t>Port Elizabeth</t>
  </si>
  <si>
    <t>Durban</t>
  </si>
  <si>
    <t>Nelspruit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</si>
  <si>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</si>
  <si>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</si>
  <si>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</si>
  <si>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</si>
  <si>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</si>
  <si>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</si>
  <si>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</si>
  <si>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</si>
  <si>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</si>
  <si>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</si>
  <si>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</si>
  <si>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</si>
  <si>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</si>
  <si>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</si>
  <si>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</si>
  <si>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</si>
  <si>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TAB</t>
  </si>
  <si>
    <t>SCORE</t>
  </si>
  <si>
    <t>1/4</t>
  </si>
  <si>
    <t>1/8</t>
  </si>
  <si>
    <t>1/2</t>
  </si>
  <si>
    <t>Tirs Au But</t>
  </si>
  <si>
    <t>Classement A</t>
  </si>
  <si>
    <t>Classement B</t>
  </si>
  <si>
    <t>Classement C</t>
  </si>
  <si>
    <t>Classement D</t>
  </si>
  <si>
    <t>Classement E</t>
  </si>
  <si>
    <t>Classement F</t>
  </si>
  <si>
    <t>Classement G</t>
  </si>
  <si>
    <t>Classement H</t>
  </si>
  <si>
    <t>CAMPIONATUL MONDIAL DE FOTBAL  AFRICA DE SUD 2010</t>
  </si>
  <si>
    <t>FINALA</t>
  </si>
  <si>
    <t>LOCUL 3</t>
  </si>
  <si>
    <t>FAZA 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</si>
</sst>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dd/mm"/>
  </numFmts>
  <fonts count="50">
    <font>
      <sz val="11"/>
      <color indexed="8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1"/>
      <color indexed="40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4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sz val="8"/>
      <color indexed="8"/>
      <name val="Calibri"/>
      <family val="2"/>
    </font>
    <font>
      <sz val="7"/>
      <color indexed="9"/>
      <name val="Calibri"/>
      <family val="2"/>
    </font>
    <font>
      <b/>
      <sz val="11"/>
      <color indexed="36"/>
      <name val="Calibri"/>
      <family val="2"/>
    </font>
    <font>
      <b/>
      <sz val="12"/>
      <color indexed="10"/>
      <name val="Calibri"/>
      <family val="2"/>
    </font>
    <font>
      <b/>
      <sz val="20"/>
      <color indexed="13"/>
      <name val="Calibri"/>
      <family val="2"/>
    </font>
    <font>
      <b/>
      <sz val="18"/>
      <color indexed="51"/>
      <name val="Calibri"/>
      <family val="2"/>
    </font>
    <font>
      <b/>
      <sz val="12"/>
      <color indexed="9"/>
      <name val="Calibri"/>
      <family val="2"/>
    </font>
    <font>
      <b/>
      <sz val="14"/>
      <color indexed="13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20"/>
      <color indexed="51"/>
      <name val="Calibri"/>
      <family val="2"/>
    </font>
    <font>
      <b/>
      <sz val="11"/>
      <color indexed="1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 style="hair">
        <color indexed="13"/>
      </left>
      <right style="hair">
        <color indexed="13"/>
      </right>
      <top style="thin"/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/>
      <right/>
      <top/>
      <bottom style="thin">
        <color indexed="10"/>
      </bottom>
    </border>
    <border>
      <left style="hair">
        <color indexed="13"/>
      </left>
      <right style="hair">
        <color indexed="13"/>
      </right>
      <top style="hair">
        <color indexed="13"/>
      </top>
      <bottom style="thin">
        <color indexed="10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 style="hair">
        <color indexed="8"/>
      </right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>
        <color indexed="10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>
        <color indexed="10"/>
      </top>
      <bottom style="hair"/>
    </border>
    <border>
      <left/>
      <right style="hair">
        <color indexed="8"/>
      </right>
      <top/>
      <bottom style="thin">
        <color indexed="10"/>
      </bottom>
    </border>
    <border>
      <left/>
      <right/>
      <top style="hair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>
        <color indexed="10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/>
      <top/>
      <bottom style="thin">
        <color indexed="10"/>
      </bottom>
    </border>
    <border>
      <left/>
      <right style="hair">
        <color indexed="13"/>
      </right>
      <top/>
      <bottom style="thin">
        <color indexed="10"/>
      </bottom>
    </border>
    <border>
      <left/>
      <right style="hair">
        <color indexed="13"/>
      </right>
      <top/>
      <bottom/>
    </border>
    <border>
      <left/>
      <right/>
      <top/>
      <bottom style="thin"/>
    </border>
    <border>
      <left style="hair">
        <color indexed="8"/>
      </left>
      <right/>
      <top/>
      <bottom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0" borderId="1" applyNumberFormat="0" applyAlignment="0" applyProtection="0"/>
    <xf numFmtId="0" fontId="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7" borderId="1" applyNumberFormat="0" applyAlignment="0" applyProtection="0"/>
    <xf numFmtId="0" fontId="40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2" fillId="20" borderId="4" applyNumberFormat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" fillId="23" borderId="9" applyNumberFormat="0" applyAlignment="0" applyProtection="0"/>
  </cellStyleXfs>
  <cellXfs count="380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6" borderId="0" xfId="0" applyFill="1" applyAlignment="1">
      <alignment/>
    </xf>
    <xf numFmtId="0" fontId="7" fillId="26" borderId="0" xfId="0" applyFont="1" applyFill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172" fontId="0" fillId="26" borderId="18" xfId="0" applyNumberFormat="1" applyFill="1" applyBorder="1" applyAlignment="1">
      <alignment horizontal="center" vertical="center"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8" fillId="26" borderId="0" xfId="0" applyFont="1" applyFill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9" fillId="26" borderId="0" xfId="0" applyFont="1" applyFill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10" fillId="26" borderId="0" xfId="0" applyFont="1" applyFill="1" applyAlignment="1">
      <alignment horizontal="center" vertical="center"/>
    </xf>
    <xf numFmtId="0" fontId="10" fillId="26" borderId="13" xfId="0" applyFont="1" applyFill="1" applyBorder="1" applyAlignment="1">
      <alignment horizontal="center" vertical="center"/>
    </xf>
    <xf numFmtId="0" fontId="11" fillId="26" borderId="0" xfId="0" applyFont="1" applyFill="1" applyAlignment="1">
      <alignment horizontal="center" vertical="center"/>
    </xf>
    <xf numFmtId="0" fontId="11" fillId="26" borderId="13" xfId="0" applyFont="1" applyFill="1" applyBorder="1" applyAlignment="1">
      <alignment horizontal="center" vertical="center"/>
    </xf>
    <xf numFmtId="0" fontId="12" fillId="26" borderId="0" xfId="0" applyFont="1" applyFill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13" fillId="26" borderId="0" xfId="0" applyFont="1" applyFill="1" applyAlignment="1">
      <alignment horizontal="center" vertical="center"/>
    </xf>
    <xf numFmtId="0" fontId="13" fillId="26" borderId="13" xfId="0" applyFont="1" applyFill="1" applyBorder="1" applyAlignment="1">
      <alignment horizontal="center" vertical="center"/>
    </xf>
    <xf numFmtId="0" fontId="14" fillId="26" borderId="0" xfId="0" applyFont="1" applyFill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1" fillId="0" borderId="0" xfId="50">
      <alignment/>
      <protection/>
    </xf>
    <xf numFmtId="0" fontId="1" fillId="0" borderId="0" xfId="50" applyFont="1">
      <alignment/>
      <protection/>
    </xf>
    <xf numFmtId="0" fontId="1" fillId="0" borderId="0" xfId="50" applyAlignment="1">
      <alignment horizontal="center" vertical="center"/>
      <protection/>
    </xf>
    <xf numFmtId="0" fontId="2" fillId="0" borderId="0" xfId="50" applyFont="1" applyAlignment="1">
      <alignment horizontal="center" vertical="center"/>
      <protection/>
    </xf>
    <xf numFmtId="0" fontId="6" fillId="25" borderId="0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15" fillId="29" borderId="19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15" fillId="15" borderId="1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16" fillId="25" borderId="0" xfId="0" applyFont="1" applyFill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172" fontId="0" fillId="26" borderId="0" xfId="0" applyNumberFormat="1" applyFill="1" applyBorder="1" applyAlignment="1">
      <alignment horizontal="center" vertical="center"/>
    </xf>
    <xf numFmtId="0" fontId="3" fillId="26" borderId="19" xfId="0" applyFont="1" applyFill="1" applyBorder="1" applyAlignment="1" applyProtection="1">
      <alignment vertical="center"/>
      <protection/>
    </xf>
    <xf numFmtId="0" fontId="0" fillId="26" borderId="0" xfId="0" applyFill="1" applyBorder="1" applyAlignment="1">
      <alignment/>
    </xf>
    <xf numFmtId="0" fontId="3" fillId="26" borderId="0" xfId="0" applyFont="1" applyFill="1" applyBorder="1" applyAlignment="1" applyProtection="1">
      <alignment vertical="center"/>
      <protection/>
    </xf>
    <xf numFmtId="0" fontId="16" fillId="25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left" vertical="center"/>
    </xf>
    <xf numFmtId="0" fontId="0" fillId="26" borderId="20" xfId="0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21" borderId="13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0" fontId="18" fillId="22" borderId="13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/>
    </xf>
    <xf numFmtId="0" fontId="19" fillId="29" borderId="21" xfId="0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/>
    </xf>
    <xf numFmtId="0" fontId="19" fillId="14" borderId="2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0" fillId="26" borderId="13" xfId="0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0" fontId="21" fillId="27" borderId="23" xfId="0" applyFont="1" applyFill="1" applyBorder="1" applyAlignment="1">
      <alignment horizontal="center" vertical="center"/>
    </xf>
    <xf numFmtId="0" fontId="4" fillId="27" borderId="24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center" vertical="center"/>
    </xf>
    <xf numFmtId="0" fontId="4" fillId="27" borderId="25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21" fillId="28" borderId="27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2" fillId="29" borderId="26" xfId="0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23" fillId="29" borderId="27" xfId="0" applyFont="1" applyFill="1" applyBorder="1" applyAlignment="1">
      <alignment horizontal="center" vertical="center"/>
    </xf>
    <xf numFmtId="0" fontId="21" fillId="13" borderId="26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horizontal="center" vertical="center"/>
    </xf>
    <xf numFmtId="0" fontId="22" fillId="15" borderId="26" xfId="0" applyFont="1" applyFill="1" applyBorder="1" applyAlignment="1">
      <alignment horizontal="center" vertical="center"/>
    </xf>
    <xf numFmtId="0" fontId="15" fillId="15" borderId="25" xfId="0" applyFont="1" applyFill="1" applyBorder="1" applyAlignment="1">
      <alignment horizontal="center" vertical="center"/>
    </xf>
    <xf numFmtId="0" fontId="23" fillId="15" borderId="27" xfId="0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0" fontId="21" fillId="14" borderId="26" xfId="0" applyFont="1" applyFill="1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/>
    </xf>
    <xf numFmtId="0" fontId="19" fillId="11" borderId="25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173" fontId="0" fillId="26" borderId="0" xfId="0" applyNumberFormat="1" applyFill="1" applyBorder="1" applyAlignment="1">
      <alignment horizontal="center" vertical="center"/>
    </xf>
    <xf numFmtId="173" fontId="0" fillId="11" borderId="24" xfId="0" applyNumberFormat="1" applyFill="1" applyBorder="1" applyAlignment="1">
      <alignment horizontal="center" vertical="center"/>
    </xf>
    <xf numFmtId="173" fontId="4" fillId="28" borderId="24" xfId="0" applyNumberFormat="1" applyFont="1" applyFill="1" applyBorder="1" applyAlignment="1">
      <alignment horizontal="center" vertical="center"/>
    </xf>
    <xf numFmtId="173" fontId="15" fillId="29" borderId="24" xfId="0" applyNumberFormat="1" applyFont="1" applyFill="1" applyBorder="1" applyAlignment="1">
      <alignment horizontal="center" vertical="center"/>
    </xf>
    <xf numFmtId="173" fontId="4" fillId="13" borderId="24" xfId="0" applyNumberFormat="1" applyFont="1" applyFill="1" applyBorder="1" applyAlignment="1">
      <alignment horizontal="center" vertical="center"/>
    </xf>
    <xf numFmtId="173" fontId="15" fillId="15" borderId="24" xfId="0" applyNumberFormat="1" applyFont="1" applyFill="1" applyBorder="1" applyAlignment="1">
      <alignment horizontal="center" vertical="center"/>
    </xf>
    <xf numFmtId="173" fontId="4" fillId="14" borderId="24" xfId="0" applyNumberFormat="1" applyFont="1" applyFill="1" applyBorder="1" applyAlignment="1">
      <alignment horizontal="center" vertical="center"/>
    </xf>
    <xf numFmtId="173" fontId="19" fillId="11" borderId="24" xfId="0" applyNumberFormat="1" applyFont="1" applyFill="1" applyBorder="1" applyAlignment="1">
      <alignment horizontal="center" vertical="center"/>
    </xf>
    <xf numFmtId="0" fontId="15" fillId="29" borderId="34" xfId="0" applyFont="1" applyFill="1" applyBorder="1" applyAlignment="1">
      <alignment horizontal="center" vertical="center"/>
    </xf>
    <xf numFmtId="0" fontId="15" fillId="15" borderId="34" xfId="0" applyFont="1" applyFill="1" applyBorder="1" applyAlignment="1">
      <alignment horizontal="center" vertical="center"/>
    </xf>
    <xf numFmtId="173" fontId="24" fillId="26" borderId="0" xfId="0" applyNumberFormat="1" applyFont="1" applyFill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72" fontId="24" fillId="26" borderId="18" xfId="0" applyNumberFormat="1" applyFont="1" applyFill="1" applyBorder="1" applyAlignment="1">
      <alignment horizontal="center" vertical="center"/>
    </xf>
    <xf numFmtId="173" fontId="24" fillId="26" borderId="13" xfId="0" applyNumberFormat="1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172" fontId="24" fillId="26" borderId="35" xfId="0" applyNumberFormat="1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3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/>
    </xf>
    <xf numFmtId="0" fontId="0" fillId="4" borderId="23" xfId="0" applyFill="1" applyBorder="1" applyAlignment="1">
      <alignment/>
    </xf>
    <xf numFmtId="0" fontId="0" fillId="4" borderId="19" xfId="0" applyFill="1" applyBorder="1" applyAlignment="1">
      <alignment/>
    </xf>
    <xf numFmtId="0" fontId="26" fillId="4" borderId="0" xfId="0" applyFont="1" applyFill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20" xfId="0" applyFill="1" applyBorder="1" applyAlignment="1">
      <alignment/>
    </xf>
    <xf numFmtId="0" fontId="4" fillId="2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27" fillId="16" borderId="41" xfId="0" applyFont="1" applyFill="1" applyBorder="1" applyAlignment="1">
      <alignment horizontal="center" vertical="center"/>
    </xf>
    <xf numFmtId="0" fontId="27" fillId="16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8" fillId="21" borderId="42" xfId="0" applyFont="1" applyFill="1" applyBorder="1" applyAlignment="1">
      <alignment/>
    </xf>
    <xf numFmtId="0" fontId="28" fillId="21" borderId="43" xfId="0" applyFont="1" applyFill="1" applyBorder="1" applyAlignment="1">
      <alignment/>
    </xf>
    <xf numFmtId="0" fontId="28" fillId="21" borderId="0" xfId="0" applyFont="1" applyFill="1" applyAlignment="1">
      <alignment/>
    </xf>
    <xf numFmtId="0" fontId="0" fillId="22" borderId="44" xfId="0" applyFill="1" applyBorder="1" applyAlignment="1">
      <alignment/>
    </xf>
    <xf numFmtId="0" fontId="0" fillId="22" borderId="40" xfId="0" applyFill="1" applyBorder="1" applyAlignment="1">
      <alignment/>
    </xf>
    <xf numFmtId="49" fontId="0" fillId="4" borderId="0" xfId="0" applyNumberFormat="1" applyFill="1" applyAlignment="1">
      <alignment/>
    </xf>
    <xf numFmtId="49" fontId="0" fillId="4" borderId="0" xfId="0" applyNumberForma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49" fontId="29" fillId="4" borderId="0" xfId="0" applyNumberFormat="1" applyFont="1" applyFill="1" applyAlignment="1">
      <alignment horizontal="center" vertical="center"/>
    </xf>
    <xf numFmtId="0" fontId="8" fillId="7" borderId="44" xfId="0" applyFont="1" applyFill="1" applyBorder="1" applyAlignment="1">
      <alignment/>
    </xf>
    <xf numFmtId="0" fontId="8" fillId="7" borderId="45" xfId="0" applyFont="1" applyFill="1" applyBorder="1" applyAlignment="1">
      <alignment/>
    </xf>
    <xf numFmtId="0" fontId="8" fillId="7" borderId="40" xfId="0" applyFont="1" applyFill="1" applyBorder="1" applyAlignment="1">
      <alignment/>
    </xf>
    <xf numFmtId="0" fontId="0" fillId="26" borderId="29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31" xfId="0" applyFill="1" applyBorder="1" applyAlignment="1" applyProtection="1">
      <alignment horizontal="center" vertical="center"/>
      <protection locked="0"/>
    </xf>
    <xf numFmtId="0" fontId="17" fillId="26" borderId="46" xfId="0" applyFont="1" applyFill="1" applyBorder="1" applyAlignment="1" applyProtection="1">
      <alignment horizontal="center" vertical="center"/>
      <protection locked="0"/>
    </xf>
    <xf numFmtId="0" fontId="0" fillId="26" borderId="47" xfId="0" applyFill="1" applyBorder="1" applyAlignment="1" applyProtection="1">
      <alignment horizontal="center" vertical="center"/>
      <protection locked="0"/>
    </xf>
    <xf numFmtId="0" fontId="17" fillId="26" borderId="48" xfId="0" applyFont="1" applyFill="1" applyBorder="1" applyAlignment="1" applyProtection="1">
      <alignment horizontal="center" vertical="center"/>
      <protection locked="0"/>
    </xf>
    <xf numFmtId="0" fontId="0" fillId="26" borderId="49" xfId="0" applyFill="1" applyBorder="1" applyAlignment="1" applyProtection="1">
      <alignment horizontal="center" vertical="center"/>
      <protection locked="0"/>
    </xf>
    <xf numFmtId="0" fontId="17" fillId="26" borderId="41" xfId="0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173" fontId="0" fillId="4" borderId="0" xfId="0" applyNumberFormat="1" applyFill="1" applyAlignment="1">
      <alignment/>
    </xf>
    <xf numFmtId="0" fontId="3" fillId="22" borderId="51" xfId="0" applyFont="1" applyFill="1" applyBorder="1" applyAlignment="1" applyProtection="1">
      <alignment vertical="center"/>
      <protection/>
    </xf>
    <xf numFmtId="0" fontId="3" fillId="2" borderId="51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21" borderId="51" xfId="0" applyFont="1" applyFill="1" applyBorder="1" applyAlignment="1" applyProtection="1">
      <alignment vertical="center"/>
      <protection/>
    </xf>
    <xf numFmtId="0" fontId="3" fillId="21" borderId="0" xfId="0" applyNumberFormat="1" applyFont="1" applyFill="1" applyBorder="1" applyAlignment="1">
      <alignment horizontal="right" vertical="center"/>
    </xf>
    <xf numFmtId="0" fontId="9" fillId="21" borderId="0" xfId="0" applyFont="1" applyFill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3" fillId="3" borderId="51" xfId="0" applyFont="1" applyFill="1" applyBorder="1" applyAlignment="1" applyProtection="1">
      <alignment vertical="center"/>
      <protection/>
    </xf>
    <xf numFmtId="0" fontId="3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3" fillId="4" borderId="51" xfId="0" applyFont="1" applyFill="1" applyBorder="1" applyAlignment="1" applyProtection="1">
      <alignment vertical="center"/>
      <protection/>
    </xf>
    <xf numFmtId="0" fontId="3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5" borderId="51" xfId="0" applyFont="1" applyFill="1" applyBorder="1" applyAlignment="1" applyProtection="1">
      <alignment vertical="center"/>
      <protection/>
    </xf>
    <xf numFmtId="0" fontId="3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3" fillId="6" borderId="51" xfId="0" applyFont="1" applyFill="1" applyBorder="1" applyAlignment="1" applyProtection="1">
      <alignment vertical="center"/>
      <protection/>
    </xf>
    <xf numFmtId="0" fontId="3" fillId="6" borderId="0" xfId="0" applyNumberFormat="1" applyFont="1" applyFill="1" applyBorder="1" applyAlignment="1">
      <alignment horizontal="right" vertical="center"/>
    </xf>
    <xf numFmtId="0" fontId="3" fillId="7" borderId="51" xfId="0" applyFont="1" applyFill="1" applyBorder="1" applyAlignment="1" applyProtection="1">
      <alignment vertical="center"/>
      <protection/>
    </xf>
    <xf numFmtId="0" fontId="3" fillId="7" borderId="0" xfId="0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3" fillId="22" borderId="0" xfId="0" applyNumberFormat="1" applyFont="1" applyFill="1" applyBorder="1" applyAlignment="1">
      <alignment horizontal="right" vertical="center"/>
    </xf>
    <xf numFmtId="0" fontId="14" fillId="22" borderId="0" xfId="0" applyFont="1" applyFill="1" applyAlignment="1">
      <alignment horizontal="center" vertical="center"/>
    </xf>
    <xf numFmtId="0" fontId="14" fillId="22" borderId="13" xfId="0" applyFont="1" applyFill="1" applyBorder="1" applyAlignment="1">
      <alignment horizontal="center" vertical="center"/>
    </xf>
    <xf numFmtId="0" fontId="45" fillId="27" borderId="23" xfId="0" applyFont="1" applyFill="1" applyBorder="1" applyAlignment="1">
      <alignment horizontal="center" vertical="center"/>
    </xf>
    <xf numFmtId="0" fontId="46" fillId="11" borderId="27" xfId="0" applyFont="1" applyFill="1" applyBorder="1" applyAlignment="1">
      <alignment horizontal="center" vertical="center"/>
    </xf>
    <xf numFmtId="0" fontId="45" fillId="28" borderId="27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0" fontId="45" fillId="13" borderId="27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45" fillId="14" borderId="27" xfId="0" applyFont="1" applyFill="1" applyBorder="1" applyAlignment="1">
      <alignment horizontal="center" vertical="center"/>
    </xf>
    <xf numFmtId="0" fontId="47" fillId="11" borderId="27" xfId="0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 vertical="center"/>
    </xf>
    <xf numFmtId="0" fontId="17" fillId="26" borderId="52" xfId="0" applyFont="1" applyFill="1" applyBorder="1" applyAlignment="1" applyProtection="1">
      <alignment horizontal="center" vertical="center"/>
      <protection locked="0"/>
    </xf>
    <xf numFmtId="0" fontId="17" fillId="26" borderId="53" xfId="0" applyFont="1" applyFill="1" applyBorder="1" applyAlignment="1" applyProtection="1">
      <alignment horizontal="center" vertical="center"/>
      <protection locked="0"/>
    </xf>
    <xf numFmtId="0" fontId="0" fillId="26" borderId="52" xfId="0" applyFill="1" applyBorder="1" applyAlignment="1" applyProtection="1">
      <alignment horizontal="center" vertical="center"/>
      <protection locked="0"/>
    </xf>
    <xf numFmtId="0" fontId="0" fillId="26" borderId="48" xfId="0" applyFill="1" applyBorder="1" applyAlignment="1" applyProtection="1">
      <alignment horizontal="center" vertical="center"/>
      <protection locked="0"/>
    </xf>
    <xf numFmtId="0" fontId="49" fillId="30" borderId="26" xfId="0" applyFont="1" applyFill="1" applyBorder="1" applyAlignment="1">
      <alignment horizontal="left" vertical="center"/>
    </xf>
    <xf numFmtId="0" fontId="49" fillId="30" borderId="50" xfId="0" applyFont="1" applyFill="1" applyBorder="1" applyAlignment="1">
      <alignment horizontal="left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0" fillId="26" borderId="26" xfId="0" applyFill="1" applyBorder="1" applyAlignment="1" applyProtection="1">
      <alignment horizontal="center" vertical="center"/>
      <protection locked="0"/>
    </xf>
    <xf numFmtId="0" fontId="48" fillId="17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8" fillId="22" borderId="54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22" borderId="21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0" fillId="26" borderId="50" xfId="0" applyFill="1" applyBorder="1" applyAlignment="1" applyProtection="1">
      <alignment horizontal="center" vertical="center"/>
      <protection locked="0"/>
    </xf>
    <xf numFmtId="0" fontId="48" fillId="25" borderId="5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18" fillId="21" borderId="21" xfId="0" applyFont="1" applyFill="1" applyBorder="1" applyAlignment="1">
      <alignment horizontal="center" vertical="center"/>
    </xf>
    <xf numFmtId="0" fontId="18" fillId="21" borderId="54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0" fontId="15" fillId="15" borderId="19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7" borderId="21" xfId="0" applyFont="1" applyFill="1" applyBorder="1" applyAlignment="1">
      <alignment horizontal="center" vertical="center"/>
    </xf>
    <xf numFmtId="0" fontId="4" fillId="27" borderId="0" xfId="0" applyFont="1" applyFill="1" applyAlignment="1">
      <alignment horizontal="center" vertical="center"/>
    </xf>
    <xf numFmtId="0" fontId="4" fillId="27" borderId="19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7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7" fillId="26" borderId="26" xfId="0" applyFont="1" applyFill="1" applyBorder="1" applyAlignment="1" applyProtection="1">
      <alignment horizontal="center" vertical="center"/>
      <protection locked="0"/>
    </xf>
    <xf numFmtId="0" fontId="17" fillId="26" borderId="23" xfId="0" applyFont="1" applyFill="1" applyBorder="1" applyAlignment="1" applyProtection="1">
      <alignment horizontal="center" vertical="center"/>
      <protection locked="0"/>
    </xf>
    <xf numFmtId="0" fontId="18" fillId="2" borderId="54" xfId="0" applyFont="1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28" borderId="58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/>
    </xf>
    <xf numFmtId="0" fontId="4" fillId="28" borderId="19" xfId="0" applyFont="1" applyFill="1" applyBorder="1" applyAlignment="1">
      <alignment horizontal="center"/>
    </xf>
    <xf numFmtId="0" fontId="15" fillId="29" borderId="58" xfId="0" applyFont="1" applyFill="1" applyBorder="1" applyAlignment="1">
      <alignment horizontal="center" vertical="center"/>
    </xf>
    <xf numFmtId="0" fontId="15" fillId="29" borderId="0" xfId="0" applyFont="1" applyFill="1" applyAlignment="1">
      <alignment horizontal="center"/>
    </xf>
    <xf numFmtId="0" fontId="15" fillId="29" borderId="19" xfId="0" applyFont="1" applyFill="1" applyBorder="1" applyAlignment="1">
      <alignment horizontal="center"/>
    </xf>
    <xf numFmtId="0" fontId="15" fillId="29" borderId="21" xfId="0" applyFont="1" applyFill="1" applyBorder="1" applyAlignment="1">
      <alignment horizontal="center" vertical="center"/>
    </xf>
    <xf numFmtId="0" fontId="15" fillId="29" borderId="0" xfId="0" applyFont="1" applyFill="1" applyAlignment="1">
      <alignment horizontal="center" vertical="center"/>
    </xf>
    <xf numFmtId="0" fontId="15" fillId="29" borderId="19" xfId="0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4" fillId="14" borderId="58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19" fillId="11" borderId="58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 wrapText="1"/>
    </xf>
    <xf numFmtId="0" fontId="32" fillId="13" borderId="59" xfId="0" applyFont="1" applyFill="1" applyBorder="1" applyAlignment="1">
      <alignment/>
    </xf>
    <xf numFmtId="0" fontId="32" fillId="13" borderId="60" xfId="0" applyFont="1" applyFill="1" applyBorder="1" applyAlignment="1">
      <alignment/>
    </xf>
    <xf numFmtId="0" fontId="32" fillId="13" borderId="61" xfId="0" applyFont="1" applyFill="1" applyBorder="1" applyAlignment="1">
      <alignment/>
    </xf>
    <xf numFmtId="0" fontId="32" fillId="13" borderId="62" xfId="0" applyFont="1" applyFill="1" applyBorder="1" applyAlignment="1">
      <alignment/>
    </xf>
    <xf numFmtId="0" fontId="33" fillId="25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3" fillId="25" borderId="64" xfId="0" applyFont="1" applyFill="1" applyBorder="1" applyAlignment="1">
      <alignment horizontal="center" vertical="center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4" fillId="13" borderId="58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35" fillId="0" borderId="17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5" fillId="15" borderId="58" xfId="0" applyFont="1" applyFill="1" applyBorder="1" applyAlignment="1">
      <alignment horizontal="center" vertical="center"/>
    </xf>
    <xf numFmtId="0" fontId="15" fillId="15" borderId="0" xfId="0" applyFont="1" applyFill="1" applyAlignment="1">
      <alignment horizontal="center"/>
    </xf>
    <xf numFmtId="0" fontId="15" fillId="15" borderId="19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1">
    <dxf>
      <fill>
        <patternFill>
          <bgColor theme="2" tint="-0.09994000196456909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  <dxf>
      <fill>
        <patternFill>
          <bgColor theme="4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7999799847602844"/>
        </patternFill>
      </fill>
      <border>
        <left/>
        <right/>
        <top/>
        <bottom/>
      </border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19050</xdr:rowOff>
    </xdr:from>
    <xdr:to>
      <xdr:col>4</xdr:col>
      <xdr:colOff>104775</xdr:colOff>
      <xdr:row>0</xdr:row>
      <xdr:rowOff>733425</xdr:rowOff>
    </xdr:to>
    <xdr:pic>
      <xdr:nvPicPr>
        <xdr:cNvPr id="1" name="Image 1" descr="wc2010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158</xdr:col>
      <xdr:colOff>85725</xdr:colOff>
      <xdr:row>0</xdr:row>
      <xdr:rowOff>19050</xdr:rowOff>
    </xdr:from>
    <xdr:to>
      <xdr:col>159</xdr:col>
      <xdr:colOff>419100</xdr:colOff>
      <xdr:row>0</xdr:row>
      <xdr:rowOff>742950</xdr:rowOff>
    </xdr:to>
    <xdr:pic>
      <xdr:nvPicPr>
        <xdr:cNvPr id="2" name="Image 2" descr="wc2010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90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70"/>
  <sheetViews>
    <sheetView tabSelected="1" zoomScale="90" zoomScaleNormal="90" zoomScalePageLayoutView="0" workbookViewId="0" topLeftCell="C1">
      <selection activeCell="F20" sqref="F20"/>
    </sheetView>
  </sheetViews>
  <sheetFormatPr defaultColWidth="9.140625" defaultRowHeight="15"/>
  <cols>
    <col min="1" max="1" width="4.421875" style="0" hidden="1" customWidth="1"/>
    <col min="2" max="2" width="6.421875" style="0" hidden="1" customWidth="1"/>
    <col min="3" max="4" width="4.7109375" style="0" customWidth="1"/>
    <col min="5" max="5" width="17.8515625" style="0" customWidth="1"/>
    <col min="6" max="7" width="4.421875" style="0" customWidth="1"/>
    <col min="8" max="8" width="3.140625" style="0" customWidth="1"/>
    <col min="9" max="9" width="14.8515625" style="0" customWidth="1"/>
    <col min="10" max="10" width="4.7109375" style="0" customWidth="1"/>
    <col min="11" max="11" width="6.00390625" style="0" customWidth="1"/>
    <col min="12" max="12" width="19.140625" style="0" customWidth="1"/>
    <col min="13" max="13" width="6.00390625" style="0" customWidth="1"/>
    <col min="14" max="14" width="5.00390625" style="0" customWidth="1"/>
    <col min="15" max="16" width="4.140625" style="0" hidden="1" customWidth="1"/>
    <col min="17" max="17" width="19.140625" style="0" customWidth="1"/>
    <col min="18" max="18" width="5.7109375" style="0" customWidth="1"/>
    <col min="19" max="19" width="5.57421875" style="0" customWidth="1"/>
    <col min="20" max="20" width="4.8515625" style="0" customWidth="1"/>
    <col min="21" max="21" width="3.28125" style="0" hidden="1" customWidth="1"/>
    <col min="22" max="156" width="11.421875" style="0" hidden="1" customWidth="1"/>
    <col min="157" max="157" width="0" style="0" hidden="1" customWidth="1"/>
    <col min="158" max="158" width="4.140625" style="0" customWidth="1"/>
    <col min="159" max="159" width="5.7109375" style="209" customWidth="1"/>
    <col min="160" max="160" width="15.140625" style="0" customWidth="1"/>
    <col min="161" max="161" width="5.140625" style="0" customWidth="1"/>
    <col min="162" max="162" width="4.7109375" style="0" customWidth="1"/>
    <col min="163" max="164" width="5.140625" style="0" customWidth="1"/>
    <col min="165" max="165" width="0" style="0" hidden="1" customWidth="1"/>
    <col min="166" max="166" width="15.140625" style="0" customWidth="1"/>
    <col min="167" max="167" width="5.140625" style="0" customWidth="1"/>
    <col min="168" max="168" width="4.57421875" style="0" customWidth="1"/>
    <col min="169" max="170" width="5.140625" style="0" customWidth="1"/>
    <col min="171" max="171" width="0" style="0" hidden="1" customWidth="1"/>
    <col min="172" max="172" width="15.140625" style="0" customWidth="1"/>
    <col min="173" max="173" width="5.140625" style="0" customWidth="1"/>
    <col min="174" max="174" width="4.57421875" style="0" customWidth="1"/>
    <col min="175" max="176" width="5.140625" style="0" customWidth="1"/>
    <col min="177" max="177" width="2.421875" style="0" customWidth="1"/>
    <col min="178" max="178" width="14.421875" style="0" customWidth="1"/>
    <col min="179" max="180" width="5.28125" style="0" customWidth="1"/>
    <col min="181" max="16384" width="11.421875" style="0" customWidth="1"/>
  </cols>
  <sheetData>
    <row r="1" spans="3:181" ht="59.25" customHeight="1">
      <c r="C1" s="308" t="s">
        <v>139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FB1" s="297" t="s">
        <v>139</v>
      </c>
      <c r="FC1" s="298"/>
      <c r="FD1" s="298"/>
      <c r="FE1" s="298"/>
      <c r="FF1" s="298"/>
      <c r="FG1" s="298"/>
      <c r="FH1" s="298"/>
      <c r="FI1" s="298"/>
      <c r="FJ1" s="298"/>
      <c r="FK1" s="298"/>
      <c r="FL1" s="298"/>
      <c r="FM1" s="298"/>
      <c r="FN1" s="298"/>
      <c r="FO1" s="298"/>
      <c r="FP1" s="298"/>
      <c r="FQ1" s="298"/>
      <c r="FR1" s="298"/>
      <c r="FS1" s="298"/>
      <c r="FT1" s="298"/>
      <c r="FU1" s="298"/>
      <c r="FV1" s="298"/>
      <c r="FW1" s="298"/>
      <c r="FX1" s="298"/>
      <c r="FY1" s="210"/>
    </row>
    <row r="2" spans="3:181" ht="18" customHeight="1">
      <c r="C2" s="323" t="s">
        <v>142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5"/>
      <c r="AX2">
        <v>111</v>
      </c>
      <c r="AY2">
        <v>112</v>
      </c>
      <c r="AZ2">
        <v>113</v>
      </c>
      <c r="BA2">
        <v>114</v>
      </c>
      <c r="BB2">
        <v>121</v>
      </c>
      <c r="BC2">
        <v>122</v>
      </c>
      <c r="BD2">
        <v>123</v>
      </c>
      <c r="BE2">
        <v>124</v>
      </c>
      <c r="BF2">
        <v>131</v>
      </c>
      <c r="BG2">
        <v>132</v>
      </c>
      <c r="BH2">
        <v>133</v>
      </c>
      <c r="BI2">
        <v>134</v>
      </c>
      <c r="BJ2">
        <v>141</v>
      </c>
      <c r="BK2">
        <v>142</v>
      </c>
      <c r="BL2">
        <v>143</v>
      </c>
      <c r="BM2">
        <v>144</v>
      </c>
      <c r="BN2">
        <v>211</v>
      </c>
      <c r="BO2">
        <v>212</v>
      </c>
      <c r="BP2">
        <v>213</v>
      </c>
      <c r="BQ2">
        <v>214</v>
      </c>
      <c r="BR2">
        <v>221</v>
      </c>
      <c r="BS2">
        <v>222</v>
      </c>
      <c r="BT2">
        <v>223</v>
      </c>
      <c r="BU2">
        <v>224</v>
      </c>
      <c r="BV2">
        <v>231</v>
      </c>
      <c r="BW2">
        <v>232</v>
      </c>
      <c r="BX2">
        <v>233</v>
      </c>
      <c r="BY2">
        <v>234</v>
      </c>
      <c r="BZ2">
        <v>241</v>
      </c>
      <c r="CA2">
        <v>242</v>
      </c>
      <c r="CB2">
        <v>243</v>
      </c>
      <c r="CC2">
        <v>244</v>
      </c>
      <c r="CD2">
        <v>311</v>
      </c>
      <c r="CE2">
        <v>312</v>
      </c>
      <c r="CF2">
        <v>313</v>
      </c>
      <c r="CG2">
        <v>314</v>
      </c>
      <c r="CH2">
        <v>321</v>
      </c>
      <c r="CI2">
        <v>322</v>
      </c>
      <c r="CJ2">
        <v>323</v>
      </c>
      <c r="CK2">
        <v>324</v>
      </c>
      <c r="CL2">
        <v>331</v>
      </c>
      <c r="CM2">
        <v>332</v>
      </c>
      <c r="CN2">
        <v>333</v>
      </c>
      <c r="CO2">
        <v>334</v>
      </c>
      <c r="CP2">
        <v>341</v>
      </c>
      <c r="CQ2">
        <v>342</v>
      </c>
      <c r="CR2">
        <v>343</v>
      </c>
      <c r="CS2">
        <v>344</v>
      </c>
      <c r="CT2">
        <v>411</v>
      </c>
      <c r="CU2">
        <v>412</v>
      </c>
      <c r="CV2">
        <v>413</v>
      </c>
      <c r="CW2">
        <v>414</v>
      </c>
      <c r="CX2">
        <v>421</v>
      </c>
      <c r="CY2">
        <v>422</v>
      </c>
      <c r="CZ2">
        <v>423</v>
      </c>
      <c r="DA2">
        <v>424</v>
      </c>
      <c r="DB2">
        <v>431</v>
      </c>
      <c r="DC2">
        <v>432</v>
      </c>
      <c r="DD2">
        <v>433</v>
      </c>
      <c r="DE2">
        <v>434</v>
      </c>
      <c r="DF2">
        <v>441</v>
      </c>
      <c r="DG2">
        <v>442</v>
      </c>
      <c r="DH2">
        <v>443</v>
      </c>
      <c r="DI2">
        <v>444</v>
      </c>
      <c r="DM2" t="s">
        <v>86</v>
      </c>
      <c r="DW2" t="s">
        <v>87</v>
      </c>
      <c r="EC2" t="s">
        <v>88</v>
      </c>
      <c r="EI2" t="s">
        <v>89</v>
      </c>
      <c r="EO2" t="s">
        <v>90</v>
      </c>
      <c r="EQ2" t="s">
        <v>91</v>
      </c>
      <c r="FB2" s="286"/>
      <c r="FC2" s="7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</row>
    <row r="3" spans="1:181" ht="15">
      <c r="A3" s="102"/>
      <c r="B3" s="55"/>
      <c r="C3" s="108" t="s">
        <v>0</v>
      </c>
      <c r="D3" s="122" t="s">
        <v>83</v>
      </c>
      <c r="E3" s="326" t="s">
        <v>1</v>
      </c>
      <c r="F3" s="327"/>
      <c r="G3" s="327"/>
      <c r="H3" s="327"/>
      <c r="I3" s="328"/>
      <c r="J3" s="122" t="s">
        <v>83</v>
      </c>
      <c r="K3" s="112" t="s">
        <v>11</v>
      </c>
      <c r="L3" s="113" t="s">
        <v>12</v>
      </c>
      <c r="M3" s="114" t="s">
        <v>13</v>
      </c>
      <c r="N3" s="332" t="s">
        <v>131</v>
      </c>
      <c r="O3" s="333"/>
      <c r="P3" s="333"/>
      <c r="Q3" s="334"/>
      <c r="R3" s="111" t="s">
        <v>83</v>
      </c>
      <c r="S3" s="278" t="s">
        <v>84</v>
      </c>
      <c r="T3" s="111" t="s">
        <v>85</v>
      </c>
      <c r="W3" t="s">
        <v>83</v>
      </c>
      <c r="X3" t="s">
        <v>84</v>
      </c>
      <c r="Y3" t="s">
        <v>85</v>
      </c>
      <c r="AI3" t="s">
        <v>92</v>
      </c>
      <c r="AJ3" t="s">
        <v>93</v>
      </c>
      <c r="AK3" t="s">
        <v>94</v>
      </c>
      <c r="AL3" t="s">
        <v>95</v>
      </c>
      <c r="AN3" t="s">
        <v>92</v>
      </c>
      <c r="AO3" t="s">
        <v>93</v>
      </c>
      <c r="AP3" t="s">
        <v>94</v>
      </c>
      <c r="AQ3" t="s">
        <v>95</v>
      </c>
      <c r="AS3" t="s">
        <v>96</v>
      </c>
      <c r="AT3" t="s">
        <v>97</v>
      </c>
      <c r="AU3" t="s">
        <v>98</v>
      </c>
      <c r="FB3" s="210"/>
      <c r="FC3" s="7"/>
      <c r="FD3" s="228" t="s">
        <v>128</v>
      </c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</row>
    <row r="4" spans="1:181" ht="15">
      <c r="A4" s="62" t="s">
        <v>9</v>
      </c>
      <c r="B4" s="64" t="s">
        <v>10</v>
      </c>
      <c r="C4" s="2">
        <v>1</v>
      </c>
      <c r="D4" s="3">
        <f aca="true" t="shared" si="0" ref="D4:D9">IF(F4="","",AI4)</f>
      </c>
      <c r="E4" s="83" t="str">
        <f>VLOOKUP(A4,Tirage!$D$1:$F$40,3,FALSE)</f>
        <v>Afrique du Sud</v>
      </c>
      <c r="F4" s="243"/>
      <c r="G4" s="243"/>
      <c r="H4" s="309" t="str">
        <f>VLOOKUP(B4,Tirage!$D$1:$F$40,3,FALSE)</f>
        <v>Mexique</v>
      </c>
      <c r="I4" s="302"/>
      <c r="J4" s="3">
        <f aca="true" t="shared" si="1" ref="J4:J9">IF(F4="","",AO4)</f>
      </c>
      <c r="K4" s="198">
        <v>39975</v>
      </c>
      <c r="L4" s="199" t="s">
        <v>100</v>
      </c>
      <c r="M4" s="200">
        <v>0.6666666666666666</v>
      </c>
      <c r="N4" s="247">
        <f>IF(AND(OR(DM8="2P1",EI8="3P1",EO8="4P1"),AG9=1),"Tirage",1)</f>
        <v>1</v>
      </c>
      <c r="O4" s="68"/>
      <c r="P4" s="70"/>
      <c r="Q4" s="8" t="str">
        <f>DS4</f>
        <v>Afrique du Sud</v>
      </c>
      <c r="R4" s="140">
        <f>IF(W4="","",VLOOKUP(Q4,V4:Y7,2,FALSE))</f>
      </c>
      <c r="S4" s="140">
        <f>IF(X4="","",VLOOKUP(Q4,V4:Y7,3,FALSE))</f>
      </c>
      <c r="T4" s="141">
        <f>IF($Y$4="","",VLOOKUP(Q4,V4:Y7,4,FALSE))</f>
      </c>
      <c r="V4" t="str">
        <f>E4</f>
        <v>Afrique du Sud</v>
      </c>
      <c r="W4">
        <f>IF(F4="","",SUM(D4,D6,J9))</f>
      </c>
      <c r="X4">
        <f>IF(F4="","",SUM((F4-G4)+(F6-G6)+(G9-F9)))</f>
      </c>
      <c r="Y4">
        <f>IF(F4="","",SUM(F4,F6,G9))</f>
      </c>
      <c r="AH4" t="str">
        <f>IF(DR4=TRUE,V4,DP4)</f>
        <v>Afrique du Sud</v>
      </c>
      <c r="AI4">
        <f aca="true" t="shared" si="2" ref="AI4:AI9">IF(G4="","",AJ4)</f>
      </c>
      <c r="AJ4">
        <f aca="true" t="shared" si="3" ref="AJ4:AJ9">IF(F4&lt;G4,0,AK4)</f>
        <v>1</v>
      </c>
      <c r="AK4">
        <f aca="true" t="shared" si="4" ref="AK4:AK9">IF(F4=G4,1,AL4)</f>
        <v>1</v>
      </c>
      <c r="AL4">
        <f aca="true" t="shared" si="5" ref="AL4:AL9">IF(F4&gt;G4,3,"")</f>
      </c>
      <c r="AN4">
        <f aca="true" t="shared" si="6" ref="AN4:AN9">IF(G4="","",AO4)</f>
      </c>
      <c r="AO4">
        <f aca="true" t="shared" si="7" ref="AO4:AO9">IF(G4&lt;F4,0,AP4)</f>
        <v>1</v>
      </c>
      <c r="AP4">
        <f aca="true" t="shared" si="8" ref="AP4:AP9">IF(G4=F4,1,AQ4)</f>
        <v>1</v>
      </c>
      <c r="AQ4">
        <f aca="true" t="shared" si="9" ref="AQ4:AQ9">IF(G4&gt;F4,3,"")</f>
      </c>
      <c r="AR4" t="str">
        <f>V4</f>
        <v>Afrique du Sud</v>
      </c>
      <c r="AS4">
        <f>IF(W4="","",RANK(W4,$W$4:$W$7))</f>
      </c>
      <c r="AT4">
        <f>IF(X4="","",RANK(X4,$X$4:$X$7))</f>
      </c>
      <c r="AU4">
        <f>IF(Y4="","",RANK(Y4,$Y$4:$Y$7))</f>
      </c>
      <c r="AV4" t="str">
        <f>AR4</f>
        <v>Afrique du Sud</v>
      </c>
      <c r="AW4">
        <f>IF(AS4="","",AX4)</f>
      </c>
      <c r="AX4">
        <f>IF(AND($AS4=1,$AT4=1,$AU4=1),AX$2,AY4)</f>
      </c>
      <c r="AY4">
        <f>IF(AND($AS4=1,$AT4=1,$AU4=2),AY$2,AZ4)</f>
      </c>
      <c r="AZ4">
        <f>IF(AND($AS4=1,$AT4=1,$AU4=3),AZ$2,BA4)</f>
      </c>
      <c r="BA4">
        <f>IF(AND($AS4=1,$AT4=1,$AU4=4),BA$2,BB4)</f>
      </c>
      <c r="BB4">
        <f>IF(AND($AS4=1,$AT4=2,$AU4=1),BB$2,BC4)</f>
      </c>
      <c r="BC4">
        <f>IF(AND($AS4=1,$AT4=2,$AU4=2),BC$2,BD4)</f>
      </c>
      <c r="BD4">
        <f>IF(AND($AS4=1,$AT4=2,$AU4=3),BD$2,BE4)</f>
      </c>
      <c r="BE4">
        <f>IF(AND($AS4=1,$AT4=2,$AU4=4),BE$2,BF4)</f>
      </c>
      <c r="BF4">
        <f>IF(AND($AS4=1,$AT4=3,$AU4=1),BF$2,BG4)</f>
      </c>
      <c r="BG4">
        <f>IF(AND($AS4=1,$AT4=3,$AU4=2),BG$2,BH4)</f>
      </c>
      <c r="BH4">
        <f>IF(AND($AS4=1,$AT4=3,$AU4=3),BH$2,BI4)</f>
      </c>
      <c r="BI4">
        <f>IF(AND($AS4=1,$AT4=3,$AU4=4),BI$2,BJ4)</f>
      </c>
      <c r="BJ4">
        <f>IF(AND($AS4=1,$AT4=4,$AU4=1),BJ$2,BK4)</f>
      </c>
      <c r="BK4">
        <f>IF(AND($AS4=1,$AT4=4,$AU4=2),BK$2,BL4)</f>
      </c>
      <c r="BL4">
        <f>IF(AND($AS4=1,$AT4=4,$AU4=3),BL$2,BM4)</f>
      </c>
      <c r="BM4">
        <f>IF(AND($AS4=1,$AT4=4,$AU4=4),BM$2,BN4)</f>
      </c>
      <c r="BN4">
        <f>IF(AND($AS4=2,$AT4=1,$AU4=1),BN$2,BO4)</f>
      </c>
      <c r="BO4">
        <f>IF(AND($AS4=2,$AT4=1,$AU4=2),BO$2,BP4)</f>
      </c>
      <c r="BP4">
        <f>IF(AND($AS4=2,$AT4=1,$AU4=3),BP$2,BQ4)</f>
      </c>
      <c r="BQ4">
        <f>IF(AND($AS4=2,$AT4=1,$AU4=4),BQ$2,BR4)</f>
      </c>
      <c r="BR4">
        <f>IF(AND($AS4=2,$AT4=2,$AU4=1),BR$2,BS4)</f>
      </c>
      <c r="BS4">
        <f>IF(AND($AS4=2,$AT4=2,$AU4=2),BS$2,BT4)</f>
      </c>
      <c r="BT4">
        <f>IF(AND($AS4=2,$AT4=2,$AU4=3),BT$2,BU4)</f>
      </c>
      <c r="BU4">
        <f>IF(AND($AS4=2,$AT4=2,$AU4=4),BU$2,BV4)</f>
      </c>
      <c r="BV4">
        <f>IF(AND($AS4=2,$AT4=3,$AU4=1),BV$2,BW4)</f>
      </c>
      <c r="BW4">
        <f>IF(AND($AS4=2,$AT4=3,$AU4=2),BW$2,BX4)</f>
      </c>
      <c r="BX4">
        <f>IF(AND($AS4=2,$AT4=3,$AU4=3),BX$2,BY4)</f>
      </c>
      <c r="BY4">
        <f>IF(AND($AS4=2,$AT4=3,$AU4=4),BY$2,BZ4)</f>
      </c>
      <c r="BZ4">
        <f>IF(AND($AS4=2,$AT4=4,$AU4=1),BZ$2,CA4)</f>
      </c>
      <c r="CA4">
        <f>IF(AND($AS4=2,$AT4=4,$AU4=2),CA$2,CB4)</f>
      </c>
      <c r="CB4">
        <f>IF(AND($AS4=2,$AT4=4,$AU4=3),CB$2,CC4)</f>
      </c>
      <c r="CC4">
        <f>IF(AND($AS4=2,$AT4=4,$AU4=4),CC$2,CD4)</f>
      </c>
      <c r="CD4">
        <f>IF(AND($AS4=3,$AT4=1,$AU4=1),CD$2,CE4)</f>
      </c>
      <c r="CE4">
        <f>IF(AND($AS4=3,$AT4=1,$AU4=2),CE$2,CF4)</f>
      </c>
      <c r="CF4">
        <f>IF(AND($AS4=3,$AT4=1,$AU4=3),CF$2,CG4)</f>
      </c>
      <c r="CG4">
        <f>IF(AND($AS4=3,$AT4=1,$AU4=4),CG$2,CH4)</f>
      </c>
      <c r="CH4">
        <f>IF(AND($AS4=3,$AT4=2,$AU4=1),CH$2,CI4)</f>
      </c>
      <c r="CI4">
        <f>IF(AND($AS4=3,$AT4=2,$AU4=2),CI$2,CJ4)</f>
      </c>
      <c r="CJ4">
        <f>IF(AND($AS4=3,$AT4=2,$AU4=3),CJ$2,CK4)</f>
      </c>
      <c r="CK4">
        <f>IF(AND($AS4=3,$AT4=2,$AU4=4),CK$2,CL4)</f>
      </c>
      <c r="CL4">
        <f>IF(AND($AS4=3,$AT4=3,$AU4=1),CL$2,CM4)</f>
      </c>
      <c r="CM4">
        <f>IF(AND($AS4=3,$AT4=3,$AU4=2),CM$2,CN4)</f>
      </c>
      <c r="CN4">
        <f>IF(AND($AS4=3,$AT4=3,$AU4=3),CN$2,CO4)</f>
      </c>
      <c r="CO4">
        <f>IF(AND($AS4=3,$AT4=3,$AU4=4),CO$2,CP4)</f>
      </c>
      <c r="CP4">
        <f>IF(AND($AS4=3,$AT4=4,$AU4=1),CP$2,CQ4)</f>
      </c>
      <c r="CQ4">
        <f>IF(AND($AS4=3,$AT4=4,$AU4=2),CQ$2,CR4)</f>
      </c>
      <c r="CR4">
        <f>IF(AND($AS4=3,$AT4=4,$AU4=3),CR$2,CS4)</f>
      </c>
      <c r="CS4">
        <f>IF(AND($AS4=3,$AT4=4,$AU4=4),CS$2,CT4)</f>
      </c>
      <c r="CT4">
        <f>IF(AND($AS4=4,$AT4=1,$AU4=1),CT$2,CU4)</f>
      </c>
      <c r="CU4">
        <f>IF(AND($AS4=4,$AT4=1,$AU4=2),CU$2,CV4)</f>
      </c>
      <c r="CV4">
        <f>IF(AND($AS4=4,$AT4=1,$AU4=3),CV$2,CW4)</f>
      </c>
      <c r="CW4">
        <f>IF(AND($AS4=4,$AT4=1,$AU4=4),CW$2,CX4)</f>
      </c>
      <c r="CX4">
        <f>IF(AND($AS4=4,$AT4=2,$AU4=1),CX$2,CY4)</f>
      </c>
      <c r="CY4">
        <f>IF(AND($AS4=4,$AT4=2,$AU4=2),CY$2,CZ4)</f>
      </c>
      <c r="CZ4">
        <f>IF(AND($AS4=4,$AT4=2,$AU4=3),CZ$2,DA4)</f>
      </c>
      <c r="DA4">
        <f>IF(AND($AS4=4,$AT4=2,$AU4=4),DA$2,DB4)</f>
      </c>
      <c r="DB4">
        <f>IF(AND($AS4=4,$AT4=3,$AU4=1),DB$2,DC4)</f>
      </c>
      <c r="DC4">
        <f>IF(AND($AS4=4,$AT4=3,$AU4=2),DC$2,DD4)</f>
      </c>
      <c r="DD4">
        <f>IF(AND($AS4=4,$AT4=3,$AU4=3),DD$2,DE4)</f>
      </c>
      <c r="DE4">
        <f>IF(AND($AS4=4,$AT4=3,$AU4=4),DE$2,DF4)</f>
      </c>
      <c r="DF4">
        <f>IF(AND($AS4=4,$AT4=4,$AU4=1),DF$2,DG4)</f>
      </c>
      <c r="DG4">
        <f>IF(AND($AS4=4,$AT4=4,$AU4=2),DG$2,DH4)</f>
      </c>
      <c r="DH4">
        <f>IF(AND($AS4=4,$AT4=4,$AU4=3),DH$2,DI4)</f>
      </c>
      <c r="DI4">
        <f>IF(AND($AS4=4,$AT4=4,$AU4=4),DI$2,"")</f>
      </c>
      <c r="DK4" t="str">
        <f>AV4</f>
        <v>Afrique du Sud</v>
      </c>
      <c r="DL4">
        <f>IF(AW4="",0,RANK(AW4,AW$4:AW$7,1))</f>
        <v>0</v>
      </c>
      <c r="DM4">
        <f>IF(DL4=1,1,"")</f>
      </c>
      <c r="DN4" t="str">
        <f>DK4</f>
        <v>Afrique du Sud</v>
      </c>
      <c r="DO4">
        <v>1</v>
      </c>
      <c r="DP4" t="e">
        <f>VLOOKUP(DO4,DL4:DN7,3,FALSE)</f>
        <v>#N/A</v>
      </c>
      <c r="DQ4" t="e">
        <f>VLOOKUP(DP4,DK$4:DL$7,2,FALSE)</f>
        <v>#N/A</v>
      </c>
      <c r="DR4" t="b">
        <f>ISERROR(DP4)</f>
        <v>1</v>
      </c>
      <c r="DS4" t="str">
        <f>IF(DM8="2p1",DO8,EN4)</f>
        <v>Afrique du Sud</v>
      </c>
      <c r="DT4">
        <f>IF(DL4=1,DK4,"")</f>
      </c>
      <c r="DW4">
        <f>IF(DL4=2,2,"")</f>
      </c>
      <c r="EC4">
        <f>IF(ED4="","",1)</f>
      </c>
      <c r="ED4">
        <f>IF(DL4=2,DK4,"")</f>
      </c>
      <c r="EI4">
        <f>IF(EJ4="","",1)</f>
      </c>
      <c r="EJ4">
        <f>IF(DL4=1,DK4,"")</f>
      </c>
      <c r="EN4" t="str">
        <f>IF(EI8="3p1",EJ8,EP4)</f>
        <v>Afrique du Sud</v>
      </c>
      <c r="EP4" t="str">
        <f>IF(EO8="4p1",DK4,AH4)</f>
        <v>Afrique du Sud</v>
      </c>
      <c r="EQ4">
        <f>IF(DL4=3,3,"")</f>
      </c>
      <c r="EX4">
        <f>IF(DL4=3,DK4,"")</f>
      </c>
      <c r="FB4" s="210"/>
      <c r="FC4" s="7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</row>
    <row r="5" spans="1:181" ht="15">
      <c r="A5" s="62" t="s">
        <v>34</v>
      </c>
      <c r="B5" s="64" t="s">
        <v>37</v>
      </c>
      <c r="C5" s="2">
        <v>2</v>
      </c>
      <c r="D5" s="4">
        <f t="shared" si="0"/>
      </c>
      <c r="E5" s="83" t="str">
        <f>VLOOKUP(A5,Tirage!$D$1:$F$40,3,FALSE)</f>
        <v>Uruguay</v>
      </c>
      <c r="F5" s="243"/>
      <c r="G5" s="243"/>
      <c r="H5" s="309" t="str">
        <f>VLOOKUP(B5,Tirage!$D$1:$F$40,3,FALSE)</f>
        <v>France</v>
      </c>
      <c r="I5" s="302"/>
      <c r="J5" s="4">
        <f t="shared" si="1"/>
      </c>
      <c r="K5" s="198">
        <v>39975</v>
      </c>
      <c r="L5" s="199" t="s">
        <v>101</v>
      </c>
      <c r="M5" s="200">
        <v>0.8541666666666666</v>
      </c>
      <c r="N5" s="248">
        <f>IF(AND(OR(DM8="2P1",EI8="3P1",EO8="4P1",DW8="2P2",EC8="3P2"),AG9=1),"Tirage",2)</f>
        <v>2</v>
      </c>
      <c r="O5" s="68"/>
      <c r="P5" s="70"/>
      <c r="Q5" s="9" t="str">
        <f>DS5</f>
        <v>Mexique</v>
      </c>
      <c r="R5" s="142">
        <f>IF(W5="","",VLOOKUP(Q5,V4:Y7,2,FALSE))</f>
      </c>
      <c r="S5" s="142">
        <f>IF(X5="","",VLOOKUP(Q5,V4:Y7,3,FALSE))</f>
      </c>
      <c r="T5" s="143">
        <f>IF($Y$4="","",VLOOKUP(Q5,V4:Y7,4,FALSE))</f>
      </c>
      <c r="V5" t="str">
        <f>H4</f>
        <v>Mexique</v>
      </c>
      <c r="W5">
        <f>IF(F4="","",SUM(J4,D8,J7))</f>
      </c>
      <c r="X5">
        <f>IF(F4="","",SUM(G4-F4+G7-F7+F8-G8))</f>
      </c>
      <c r="Y5">
        <f>IF(F4="","",SUM(G4,G7,F8))</f>
      </c>
      <c r="AH5" t="str">
        <f>IF(DR5=TRUE,V5,DP5)</f>
        <v>Mexique</v>
      </c>
      <c r="AI5">
        <f t="shared" si="2"/>
      </c>
      <c r="AJ5">
        <f t="shared" si="3"/>
        <v>1</v>
      </c>
      <c r="AK5">
        <f t="shared" si="4"/>
        <v>1</v>
      </c>
      <c r="AL5">
        <f t="shared" si="5"/>
      </c>
      <c r="AN5">
        <f t="shared" si="6"/>
      </c>
      <c r="AO5">
        <f t="shared" si="7"/>
        <v>1</v>
      </c>
      <c r="AP5">
        <f t="shared" si="8"/>
        <v>1</v>
      </c>
      <c r="AQ5">
        <f t="shared" si="9"/>
      </c>
      <c r="AR5" t="str">
        <f>V5</f>
        <v>Mexique</v>
      </c>
      <c r="AS5">
        <f>IF(W5="","",RANK(W5,$W$4:$W$7))</f>
      </c>
      <c r="AT5">
        <f>IF(X5="","",RANK(X5,$X$4:$X$7))</f>
      </c>
      <c r="AU5">
        <f>IF(Y5="","",RANK(Y5,$Y$4:$Y$7))</f>
      </c>
      <c r="AV5" t="str">
        <f>AR5</f>
        <v>Mexique</v>
      </c>
      <c r="AW5">
        <f>IF(AS5="","",AX5)</f>
      </c>
      <c r="AX5">
        <f>IF(AND($AS5=1,$AT5=1,$AU5=1),AX$2,AY5)</f>
      </c>
      <c r="AY5">
        <f>IF(AND($AS5=1,$AT5=1,$AU5=2),AY$2,AZ5)</f>
      </c>
      <c r="AZ5">
        <f>IF(AND($AS5=1,$AT5=1,$AU5=3),AZ$2,BA5)</f>
      </c>
      <c r="BA5">
        <f>IF(AND($AS5=1,$AT5=1,$AU5=4),BA$2,BB5)</f>
      </c>
      <c r="BB5">
        <f>IF(AND($AS5=1,$AT5=2,$AU5=1),BB$2,BC5)</f>
      </c>
      <c r="BC5">
        <f>IF(AND($AS5=1,$AT5=2,$AU5=2),BC$2,BD5)</f>
      </c>
      <c r="BD5">
        <f>IF(AND($AS5=1,$AT5=2,$AU5=3),BD$2,BE5)</f>
      </c>
      <c r="BE5">
        <f>IF(AND($AS5=1,$AT5=2,$AU5=4),BE$2,BF5)</f>
      </c>
      <c r="BF5">
        <f>IF(AND($AS5=1,$AT5=3,$AU5=1),BF$2,BG5)</f>
      </c>
      <c r="BG5">
        <f>IF(AND($AS5=1,$AT5=3,$AU5=2),BG$2,BH5)</f>
      </c>
      <c r="BH5">
        <f>IF(AND($AS5=1,$AT5=3,$AU5=3),BH$2,BI5)</f>
      </c>
      <c r="BI5">
        <f>IF(AND($AS5=1,$AT5=3,$AU5=4),BI$2,BJ5)</f>
      </c>
      <c r="BJ5">
        <f>IF(AND($AS5=1,$AT5=4,$AU5=1),BJ$2,BK5)</f>
      </c>
      <c r="BK5">
        <f>IF(AND($AS5=1,$AT5=4,$AU5=2),BK$2,BL5)</f>
      </c>
      <c r="BL5">
        <f>IF(AND($AS5=1,$AT5=4,$AU5=3),BL$2,BM5)</f>
      </c>
      <c r="BM5">
        <f>IF(AND($AS5=1,$AT5=4,$AU5=4),BM$2,BN5)</f>
      </c>
      <c r="BN5">
        <f>IF(AND($AS5=2,$AT5=1,$AU5=1),BN$2,BO5)</f>
      </c>
      <c r="BO5">
        <f>IF(AND($AS5=2,$AT5=1,$AU5=2),BO$2,BP5)</f>
      </c>
      <c r="BP5">
        <f>IF(AND($AS5=2,$AT5=1,$AU5=3),BP$2,BQ5)</f>
      </c>
      <c r="BQ5">
        <f>IF(AND($AS5=2,$AT5=1,$AU5=4),BQ$2,BR5)</f>
      </c>
      <c r="BR5">
        <f>IF(AND($AS5=2,$AT5=2,$AU5=1),BR$2,BS5)</f>
      </c>
      <c r="BS5">
        <f>IF(AND($AS5=2,$AT5=2,$AU5=2),BS$2,BT5)</f>
      </c>
      <c r="BT5">
        <f>IF(AND($AS5=2,$AT5=2,$AU5=3),BT$2,BU5)</f>
      </c>
      <c r="BU5">
        <f>IF(AND($AS5=2,$AT5=2,$AU5=4),BU$2,BV5)</f>
      </c>
      <c r="BV5">
        <f>IF(AND($AS5=2,$AT5=3,$AU5=1),BV$2,BW5)</f>
      </c>
      <c r="BW5">
        <f>IF(AND($AS5=2,$AT5=3,$AU5=2),BW$2,BX5)</f>
      </c>
      <c r="BX5">
        <f>IF(AND($AS5=2,$AT5=3,$AU5=3),BX$2,BY5)</f>
      </c>
      <c r="BY5">
        <f>IF(AND($AS5=2,$AT5=3,$AU5=4),BY$2,BZ5)</f>
      </c>
      <c r="BZ5">
        <f>IF(AND($AS5=2,$AT5=4,$AU5=1),BZ$2,CA5)</f>
      </c>
      <c r="CA5">
        <f>IF(AND($AS5=2,$AT5=4,$AU5=2),CA$2,CB5)</f>
      </c>
      <c r="CB5">
        <f>IF(AND($AS5=2,$AT5=4,$AU5=3),CB$2,CC5)</f>
      </c>
      <c r="CC5">
        <f>IF(AND($AS5=2,$AT5=4,$AU5=4),CC$2,CD5)</f>
      </c>
      <c r="CD5">
        <f>IF(AND($AS5=3,$AT5=1,$AU5=1),CD$2,CE5)</f>
      </c>
      <c r="CE5">
        <f>IF(AND($AS5=3,$AT5=1,$AU5=2),CE$2,CF5)</f>
      </c>
      <c r="CF5">
        <f>IF(AND($AS5=3,$AT5=1,$AU5=3),CF$2,CG5)</f>
      </c>
      <c r="CG5">
        <f>IF(AND($AS5=3,$AT5=1,$AU5=4),CG$2,CH5)</f>
      </c>
      <c r="CH5">
        <f>IF(AND($AS5=3,$AT5=2,$AU5=1),CH$2,CI5)</f>
      </c>
      <c r="CI5">
        <f>IF(AND($AS5=3,$AT5=2,$AU5=2),CI$2,CJ5)</f>
      </c>
      <c r="CJ5">
        <f>IF(AND($AS5=3,$AT5=2,$AU5=3),CJ$2,CK5)</f>
      </c>
      <c r="CK5">
        <f>IF(AND($AS5=3,$AT5=2,$AU5=4),CK$2,CL5)</f>
      </c>
      <c r="CL5">
        <f>IF(AND($AS5=3,$AT5=3,$AU5=1),CL$2,CM5)</f>
      </c>
      <c r="CM5">
        <f>IF(AND($AS5=3,$AT5=3,$AU5=2),CM$2,CN5)</f>
      </c>
      <c r="CN5">
        <f>IF(AND($AS5=3,$AT5=3,$AU5=3),CN$2,CO5)</f>
      </c>
      <c r="CO5">
        <f>IF(AND($AS5=3,$AT5=3,$AU5=4),CO$2,CP5)</f>
      </c>
      <c r="CP5">
        <f>IF(AND($AS5=3,$AT5=4,$AU5=1),CP$2,CQ5)</f>
      </c>
      <c r="CQ5">
        <f>IF(AND($AS5=3,$AT5=4,$AU5=2),CQ$2,CR5)</f>
      </c>
      <c r="CR5">
        <f>IF(AND($AS5=3,$AT5=4,$AU5=3),CR$2,CS5)</f>
      </c>
      <c r="CS5">
        <f>IF(AND($AS5=3,$AT5=4,$AU5=4),CS$2,CT5)</f>
      </c>
      <c r="CT5">
        <f>IF(AND($AS5=4,$AT5=1,$AU5=1),CT$2,CU5)</f>
      </c>
      <c r="CU5">
        <f>IF(AND($AS5=4,$AT5=1,$AU5=2),CU$2,CV5)</f>
      </c>
      <c r="CV5">
        <f>IF(AND($AS5=4,$AT5=1,$AU5=3),CV$2,CW5)</f>
      </c>
      <c r="CW5">
        <f>IF(AND($AS5=4,$AT5=1,$AU5=4),CW$2,CX5)</f>
      </c>
      <c r="CX5">
        <f>IF(AND($AS5=4,$AT5=2,$AU5=1),CX$2,CY5)</f>
      </c>
      <c r="CY5">
        <f>IF(AND($AS5=4,$AT5=2,$AU5=2),CY$2,CZ5)</f>
      </c>
      <c r="CZ5">
        <f>IF(AND($AS5=4,$AT5=2,$AU5=3),CZ$2,DA5)</f>
      </c>
      <c r="DA5">
        <f>IF(AND($AS5=4,$AT5=2,$AU5=4),DA$2,DB5)</f>
      </c>
      <c r="DB5">
        <f>IF(AND($AS5=4,$AT5=3,$AU5=1),DB$2,DC5)</f>
      </c>
      <c r="DC5">
        <f>IF(AND($AS5=4,$AT5=3,$AU5=2),DC$2,DD5)</f>
      </c>
      <c r="DD5">
        <f>IF(AND($AS5=4,$AT5=3,$AU5=3),DD$2,DE5)</f>
      </c>
      <c r="DE5">
        <f>IF(AND($AS5=4,$AT5=3,$AU5=4),DE$2,DF5)</f>
      </c>
      <c r="DF5">
        <f>IF(AND($AS5=4,$AT5=4,$AU5=1),DF$2,DG5)</f>
      </c>
      <c r="DG5">
        <f>IF(AND($AS5=4,$AT5=4,$AU5=2),DG$2,DH5)</f>
      </c>
      <c r="DH5">
        <f>IF(AND($AS5=4,$AT5=4,$AU5=3),DH$2,DI5)</f>
      </c>
      <c r="DI5">
        <f>IF(AND($AS5=4,$AT5=4,$AU5=4),DI$2,"")</f>
      </c>
      <c r="DK5" t="str">
        <f>AV5</f>
        <v>Mexique</v>
      </c>
      <c r="DL5">
        <f>IF(AW5="",0,RANK(AW5,AW$4:AW$7,1))</f>
        <v>0</v>
      </c>
      <c r="DM5">
        <f>IF(DL5=1,1,"")</f>
      </c>
      <c r="DN5" t="str">
        <f>DK5</f>
        <v>Mexique</v>
      </c>
      <c r="DO5">
        <v>2</v>
      </c>
      <c r="DP5" t="e">
        <f>VLOOKUP(DO5,DL4:DN7,3,FALSE)</f>
        <v>#N/A</v>
      </c>
      <c r="DQ5" t="e">
        <f>VLOOKUP(DP5,DK$4:DL$7,2,FALSE)</f>
        <v>#N/A</v>
      </c>
      <c r="DR5" t="b">
        <f>ISERROR(DP5)</f>
        <v>1</v>
      </c>
      <c r="DS5" t="str">
        <f>IF(DM8="2p1",DO9,DX5)</f>
        <v>Mexique</v>
      </c>
      <c r="DT5">
        <f>IF(DL5=1,DK5,"")</f>
      </c>
      <c r="DW5">
        <f>IF(DL5=2,2,"")</f>
      </c>
      <c r="DX5" t="str">
        <f>IF(DW8="2p2",DY8,EH5)</f>
        <v>Mexique</v>
      </c>
      <c r="EC5">
        <f>IF(ED5="","",2)</f>
      </c>
      <c r="ED5">
        <f>IF(DL5=2,DK5,"")</f>
      </c>
      <c r="EH5" t="str">
        <f>IF(EC8="3p2",ED8,EN5)</f>
        <v>Mexique</v>
      </c>
      <c r="EI5">
        <f>IF(EJ5="","",2)</f>
      </c>
      <c r="EJ5">
        <f>IF(DL5=1,DK5,"")</f>
      </c>
      <c r="EN5" t="str">
        <f>IF(EI8="3p1",EK8,EP5)</f>
        <v>Mexique</v>
      </c>
      <c r="EP5" t="str">
        <f>IF(EO8="4p1",DK5,AH5)</f>
        <v>Mexique</v>
      </c>
      <c r="EQ5">
        <f>IF(DL5=3,3,"")</f>
      </c>
      <c r="EX5">
        <f>IF(DL5=3,DK5,"")</f>
      </c>
      <c r="FB5" s="210"/>
      <c r="FC5" s="7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358">
        <f>IF((OR(FW22="",FW24="",AND(FW22=FW24,OR(FX23="",FX24="")))),"",(IF((FW22+FX23)&gt;(FW24+FX24),FU22,FU24)))</f>
      </c>
      <c r="FV5" s="358">
        <f aca="true" t="shared" si="10" ref="FV5:FX6">IF((OR(FQ13="",FQ14="",AND(FQ13=FQ14,OR(FR13="",FR14="")))),"",(IF((FQ13+FR13)&gt;(FQ14+FR14),FP13,FP14)))</f>
      </c>
      <c r="FW5" s="358">
        <f t="shared" si="10"/>
      </c>
      <c r="FX5" s="358">
        <f t="shared" si="10"/>
      </c>
      <c r="FY5" s="210"/>
    </row>
    <row r="6" spans="1:181" ht="15">
      <c r="A6" s="62" t="s">
        <v>9</v>
      </c>
      <c r="B6" s="64" t="s">
        <v>34</v>
      </c>
      <c r="C6" s="2">
        <v>17</v>
      </c>
      <c r="D6" s="4">
        <f t="shared" si="0"/>
      </c>
      <c r="E6" s="83" t="str">
        <f>VLOOKUP(A6,Tirage!$D$1:$F$40,3,FALSE)</f>
        <v>Afrique du Sud</v>
      </c>
      <c r="F6" s="243"/>
      <c r="G6" s="243"/>
      <c r="H6" s="309" t="str">
        <f>VLOOKUP(B6,Tirage!$D$1:$F$40,3,FALSE)</f>
        <v>Uruguay</v>
      </c>
      <c r="I6" s="302"/>
      <c r="J6" s="4">
        <f t="shared" si="1"/>
      </c>
      <c r="K6" s="198">
        <v>39980</v>
      </c>
      <c r="L6" s="199" t="s">
        <v>102</v>
      </c>
      <c r="M6" s="200">
        <v>0.8541666666666666</v>
      </c>
      <c r="N6" s="248">
        <f>IF(AND(OR(EI8="3P1",EO8="4P1",DW8="2P2",EC8="3P2"),AG9=1),"Tirage",3)</f>
        <v>3</v>
      </c>
      <c r="O6" s="68"/>
      <c r="P6" s="70"/>
      <c r="Q6" s="9" t="str">
        <f>DS6</f>
        <v>Uruguay</v>
      </c>
      <c r="R6" s="142">
        <f>IF(W6="","",VLOOKUP(Q6,V4:Y7,2,FALSE))</f>
      </c>
      <c r="S6" s="142">
        <f>IF(X6="","",VLOOKUP(Q6,V4:Y7,3,FALSE))</f>
      </c>
      <c r="T6" s="143">
        <f>IF($Y$4="","",VLOOKUP(Q6,V4:Y7,4,FALSE))</f>
      </c>
      <c r="V6" t="str">
        <f>E5</f>
        <v>Uruguay</v>
      </c>
      <c r="W6">
        <f>IF(F5="","",SUM(D5,J6,J8))</f>
      </c>
      <c r="X6">
        <f>IF(F5="","",SUM(F5-G5+G6-F6+G8-F8))</f>
      </c>
      <c r="Y6">
        <f>IF(F5="","",SUM(F5,G6,G8))</f>
      </c>
      <c r="AH6" t="str">
        <f>IF(DR6=TRUE,V6,DP6)</f>
        <v>Uruguay</v>
      </c>
      <c r="AI6">
        <f t="shared" si="2"/>
      </c>
      <c r="AJ6">
        <f t="shared" si="3"/>
        <v>1</v>
      </c>
      <c r="AK6">
        <f t="shared" si="4"/>
        <v>1</v>
      </c>
      <c r="AL6">
        <f t="shared" si="5"/>
      </c>
      <c r="AN6">
        <f t="shared" si="6"/>
      </c>
      <c r="AO6">
        <f t="shared" si="7"/>
        <v>1</v>
      </c>
      <c r="AP6">
        <f t="shared" si="8"/>
        <v>1</v>
      </c>
      <c r="AQ6">
        <f t="shared" si="9"/>
      </c>
      <c r="AR6" t="str">
        <f>V6</f>
        <v>Uruguay</v>
      </c>
      <c r="AS6">
        <f>IF(W6="","",RANK(W6,$W$4:$W$7))</f>
      </c>
      <c r="AT6">
        <f>IF(X6="","",RANK(X6,$X$4:$X$7))</f>
      </c>
      <c r="AU6">
        <f>IF(Y6="","",RANK(Y6,$Y$4:$Y$7))</f>
      </c>
      <c r="AV6" t="str">
        <f>AR6</f>
        <v>Uruguay</v>
      </c>
      <c r="AW6">
        <f>IF(AS6="","",AX6)</f>
      </c>
      <c r="AX6">
        <f>IF(AND($AS6=1,$AT6=1,$AU6=1),AX$2,AY6)</f>
      </c>
      <c r="AY6">
        <f>IF(AND($AS6=1,$AT6=1,$AU6=2),AY$2,AZ6)</f>
      </c>
      <c r="AZ6">
        <f>IF(AND($AS6=1,$AT6=1,$AU6=3),AZ$2,BA6)</f>
      </c>
      <c r="BA6">
        <f>IF(AND($AS6=1,$AT6=1,$AU6=4),BA$2,BB6)</f>
      </c>
      <c r="BB6">
        <f>IF(AND($AS6=1,$AT6=2,$AU6=1),BB$2,BC6)</f>
      </c>
      <c r="BC6">
        <f>IF(AND($AS6=1,$AT6=2,$AU6=2),BC$2,BD6)</f>
      </c>
      <c r="BD6">
        <f>IF(AND($AS6=1,$AT6=2,$AU6=3),BD$2,BE6)</f>
      </c>
      <c r="BE6">
        <f>IF(AND($AS6=1,$AT6=2,$AU6=4),BE$2,BF6)</f>
      </c>
      <c r="BF6">
        <f>IF(AND($AS6=1,$AT6=3,$AU6=1),BF$2,BG6)</f>
      </c>
      <c r="BG6">
        <f>IF(AND($AS6=1,$AT6=3,$AU6=2),BG$2,BH6)</f>
      </c>
      <c r="BH6">
        <f>IF(AND($AS6=1,$AT6=3,$AU6=3),BH$2,BI6)</f>
      </c>
      <c r="BI6">
        <f>IF(AND($AS6=1,$AT6=3,$AU6=4),BI$2,BJ6)</f>
      </c>
      <c r="BJ6">
        <f>IF(AND($AS6=1,$AT6=4,$AU6=1),BJ$2,BK6)</f>
      </c>
      <c r="BK6">
        <f>IF(AND($AS6=1,$AT6=4,$AU6=2),BK$2,BL6)</f>
      </c>
      <c r="BL6">
        <f>IF(AND($AS6=1,$AT6=4,$AU6=3),BL$2,BM6)</f>
      </c>
      <c r="BM6">
        <f>IF(AND($AS6=1,$AT6=4,$AU6=4),BM$2,BN6)</f>
      </c>
      <c r="BN6">
        <f>IF(AND($AS6=2,$AT6=1,$AU6=1),BN$2,BO6)</f>
      </c>
      <c r="BO6">
        <f>IF(AND($AS6=2,$AT6=1,$AU6=2),BO$2,BP6)</f>
      </c>
      <c r="BP6">
        <f>IF(AND($AS6=2,$AT6=1,$AU6=3),BP$2,BQ6)</f>
      </c>
      <c r="BQ6">
        <f>IF(AND($AS6=2,$AT6=1,$AU6=4),BQ$2,BR6)</f>
      </c>
      <c r="BR6">
        <f>IF(AND($AS6=2,$AT6=2,$AU6=1),BR$2,BS6)</f>
      </c>
      <c r="BS6">
        <f>IF(AND($AS6=2,$AT6=2,$AU6=2),BS$2,BT6)</f>
      </c>
      <c r="BT6">
        <f>IF(AND($AS6=2,$AT6=2,$AU6=3),BT$2,BU6)</f>
      </c>
      <c r="BU6">
        <f>IF(AND($AS6=2,$AT6=2,$AU6=4),BU$2,BV6)</f>
      </c>
      <c r="BV6">
        <f>IF(AND($AS6=2,$AT6=3,$AU6=1),BV$2,BW6)</f>
      </c>
      <c r="BW6">
        <f>IF(AND($AS6=2,$AT6=3,$AU6=2),BW$2,BX6)</f>
      </c>
      <c r="BX6">
        <f>IF(AND($AS6=2,$AT6=3,$AU6=3),BX$2,BY6)</f>
      </c>
      <c r="BY6">
        <f>IF(AND($AS6=2,$AT6=3,$AU6=4),BY$2,BZ6)</f>
      </c>
      <c r="BZ6">
        <f>IF(AND($AS6=2,$AT6=4,$AU6=1),BZ$2,CA6)</f>
      </c>
      <c r="CA6">
        <f>IF(AND($AS6=2,$AT6=4,$AU6=2),CA$2,CB6)</f>
      </c>
      <c r="CB6">
        <f>IF(AND($AS6=2,$AT6=4,$AU6=3),CB$2,CC6)</f>
      </c>
      <c r="CC6">
        <f>IF(AND($AS6=2,$AT6=4,$AU6=4),CC$2,CD6)</f>
      </c>
      <c r="CD6">
        <f>IF(AND($AS6=3,$AT6=1,$AU6=1),CD$2,CE6)</f>
      </c>
      <c r="CE6">
        <f>IF(AND($AS6=3,$AT6=1,$AU6=2),CE$2,CF6)</f>
      </c>
      <c r="CF6">
        <f>IF(AND($AS6=3,$AT6=1,$AU6=3),CF$2,CG6)</f>
      </c>
      <c r="CG6">
        <f>IF(AND($AS6=3,$AT6=1,$AU6=4),CG$2,CH6)</f>
      </c>
      <c r="CH6">
        <f>IF(AND($AS6=3,$AT6=2,$AU6=1),CH$2,CI6)</f>
      </c>
      <c r="CI6">
        <f>IF(AND($AS6=3,$AT6=2,$AU6=2),CI$2,CJ6)</f>
      </c>
      <c r="CJ6">
        <f>IF(AND($AS6=3,$AT6=2,$AU6=3),CJ$2,CK6)</f>
      </c>
      <c r="CK6">
        <f>IF(AND($AS6=3,$AT6=2,$AU6=4),CK$2,CL6)</f>
      </c>
      <c r="CL6">
        <f>IF(AND($AS6=3,$AT6=3,$AU6=1),CL$2,CM6)</f>
      </c>
      <c r="CM6">
        <f>IF(AND($AS6=3,$AT6=3,$AU6=2),CM$2,CN6)</f>
      </c>
      <c r="CN6">
        <f>IF(AND($AS6=3,$AT6=3,$AU6=3),CN$2,CO6)</f>
      </c>
      <c r="CO6">
        <f>IF(AND($AS6=3,$AT6=3,$AU6=4),CO$2,CP6)</f>
      </c>
      <c r="CP6">
        <f>IF(AND($AS6=3,$AT6=4,$AU6=1),CP$2,CQ6)</f>
      </c>
      <c r="CQ6">
        <f>IF(AND($AS6=3,$AT6=4,$AU6=2),CQ$2,CR6)</f>
      </c>
      <c r="CR6">
        <f>IF(AND($AS6=3,$AT6=4,$AU6=3),CR$2,CS6)</f>
      </c>
      <c r="CS6">
        <f>IF(AND($AS6=3,$AT6=4,$AU6=4),CS$2,CT6)</f>
      </c>
      <c r="CT6">
        <f>IF(AND($AS6=4,$AT6=1,$AU6=1),CT$2,CU6)</f>
      </c>
      <c r="CU6">
        <f>IF(AND($AS6=4,$AT6=1,$AU6=2),CU$2,CV6)</f>
      </c>
      <c r="CV6">
        <f>IF(AND($AS6=4,$AT6=1,$AU6=3),CV$2,CW6)</f>
      </c>
      <c r="CW6">
        <f>IF(AND($AS6=4,$AT6=1,$AU6=4),CW$2,CX6)</f>
      </c>
      <c r="CX6">
        <f>IF(AND($AS6=4,$AT6=2,$AU6=1),CX$2,CY6)</f>
      </c>
      <c r="CY6">
        <f>IF(AND($AS6=4,$AT6=2,$AU6=2),CY$2,CZ6)</f>
      </c>
      <c r="CZ6">
        <f>IF(AND($AS6=4,$AT6=2,$AU6=3),CZ$2,DA6)</f>
      </c>
      <c r="DA6">
        <f>IF(AND($AS6=4,$AT6=2,$AU6=4),DA$2,DB6)</f>
      </c>
      <c r="DB6">
        <f>IF(AND($AS6=4,$AT6=3,$AU6=1),DB$2,DC6)</f>
      </c>
      <c r="DC6">
        <f>IF(AND($AS6=4,$AT6=3,$AU6=2),DC$2,DD6)</f>
      </c>
      <c r="DD6">
        <f>IF(AND($AS6=4,$AT6=3,$AU6=3),DD$2,DE6)</f>
      </c>
      <c r="DE6">
        <f>IF(AND($AS6=4,$AT6=3,$AU6=4),DE$2,DF6)</f>
      </c>
      <c r="DF6">
        <f>IF(AND($AS6=4,$AT6=4,$AU6=1),DF$2,DG6)</f>
      </c>
      <c r="DG6">
        <f>IF(AND($AS6=4,$AT6=4,$AU6=2),DG$2,DH6)</f>
      </c>
      <c r="DH6">
        <f>IF(AND($AS6=4,$AT6=4,$AU6=3),DH$2,DI6)</f>
      </c>
      <c r="DI6">
        <f>IF(AND($AS6=4,$AT6=4,$AU6=4),DI$2,"")</f>
      </c>
      <c r="DK6" t="str">
        <f>AV6</f>
        <v>Uruguay</v>
      </c>
      <c r="DL6">
        <f>IF(AW6="",0,RANK(AW6,AW$4:AW$7,1))</f>
        <v>0</v>
      </c>
      <c r="DM6">
        <f>IF(DL6=1,1,"")</f>
      </c>
      <c r="DN6" t="str">
        <f>DK6</f>
        <v>Uruguay</v>
      </c>
      <c r="DO6">
        <v>3</v>
      </c>
      <c r="DP6" t="e">
        <f>VLOOKUP(DO6,DL4:DN7,3,FALSE)</f>
        <v>#N/A</v>
      </c>
      <c r="DQ6" t="e">
        <f>VLOOKUP(DP6,DK$4:DL$7,2,FALSE)</f>
        <v>#N/A</v>
      </c>
      <c r="DR6" t="b">
        <f>ISERROR(DP6)</f>
        <v>1</v>
      </c>
      <c r="DS6" t="str">
        <f>DX6</f>
        <v>Uruguay</v>
      </c>
      <c r="DT6">
        <f>IF(DL6=1,DK6,"")</f>
      </c>
      <c r="DW6">
        <f>IF(DL6=2,2,"")</f>
      </c>
      <c r="DX6" t="str">
        <f>IF(DW8="2p2",DY9,EH6)</f>
        <v>Uruguay</v>
      </c>
      <c r="EC6">
        <f>IF(ED6="","",3)</f>
      </c>
      <c r="ED6">
        <f>IF(DL6=2,DK6,"")</f>
      </c>
      <c r="EH6" t="str">
        <f>IF(EC8="3p2",EE8,EN6)</f>
        <v>Uruguay</v>
      </c>
      <c r="EI6">
        <f>IF(EJ6="","",3)</f>
      </c>
      <c r="EJ6">
        <f>IF(DL6=1,DK6,"")</f>
      </c>
      <c r="EN6" t="str">
        <f>IF(EI8="3p1",EL8,EP6)</f>
        <v>Uruguay</v>
      </c>
      <c r="EP6" t="str">
        <f>IF(EO8="4p1",DK6,ER6)</f>
        <v>Uruguay</v>
      </c>
      <c r="EQ6">
        <f>IF(DL6=3,3,"")</f>
      </c>
      <c r="ER6" t="str">
        <f>IF(EQ8="2p3",ES8,AH6)</f>
        <v>Uruguay</v>
      </c>
      <c r="EX6">
        <f>IF(DL6=3,DK6,"")</f>
      </c>
      <c r="FB6" s="210"/>
      <c r="FC6" s="7"/>
      <c r="FD6" s="245">
        <v>39990</v>
      </c>
      <c r="FE6" s="219" t="s">
        <v>126</v>
      </c>
      <c r="FF6" s="220" t="s">
        <v>125</v>
      </c>
      <c r="FG6" s="210"/>
      <c r="FH6" s="210"/>
      <c r="FI6" s="210"/>
      <c r="FJ6" s="228" t="s">
        <v>127</v>
      </c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358">
        <f>IF((OR(FP14="",FP15="",AND(FP14=FP15,OR(FQ14="",FQ15="")))),"",(IF((FP14+FQ14)&gt;(FP15+FQ15),FO14,FO15)))</f>
      </c>
      <c r="FV6" s="358">
        <f t="shared" si="10"/>
      </c>
      <c r="FW6" s="358">
        <f t="shared" si="10"/>
      </c>
      <c r="FX6" s="358">
        <f t="shared" si="10"/>
      </c>
      <c r="FY6" s="210"/>
    </row>
    <row r="7" spans="1:181" ht="15">
      <c r="A7" s="62" t="s">
        <v>37</v>
      </c>
      <c r="B7" s="64" t="s">
        <v>10</v>
      </c>
      <c r="C7" s="2">
        <v>18</v>
      </c>
      <c r="D7" s="4">
        <f t="shared" si="0"/>
      </c>
      <c r="E7" s="83" t="str">
        <f>VLOOKUP(A7,Tirage!$D$1:$F$40,3,FALSE)</f>
        <v>France</v>
      </c>
      <c r="F7" s="243"/>
      <c r="G7" s="243"/>
      <c r="H7" s="309" t="str">
        <f>VLOOKUP(B7,Tirage!$D$1:$F$40,3,FALSE)</f>
        <v>Mexique</v>
      </c>
      <c r="I7" s="302"/>
      <c r="J7" s="4">
        <f t="shared" si="1"/>
      </c>
      <c r="K7" s="198">
        <v>39981</v>
      </c>
      <c r="L7" s="199" t="s">
        <v>103</v>
      </c>
      <c r="M7" s="200">
        <v>0.8541666666666666</v>
      </c>
      <c r="N7" s="248">
        <f>IF(AND(OR(EO8="4P1",EC8="3P2"),AG9=1),"Tirage",4)</f>
        <v>4</v>
      </c>
      <c r="O7" s="68"/>
      <c r="P7" s="70"/>
      <c r="Q7" s="10" t="str">
        <f>DS7</f>
        <v>France</v>
      </c>
      <c r="R7" s="144">
        <f>IF(W7="","",VLOOKUP(Q7,V4:Y7,2,FALSE))</f>
      </c>
      <c r="S7" s="144">
        <f>IF(X7="","",VLOOKUP(Q7,V4:Y7,3,FALSE))</f>
      </c>
      <c r="T7" s="145">
        <f>IF($Y$4="","",VLOOKUP(Q7,V4:Y7,4,FALSE))</f>
      </c>
      <c r="V7" t="str">
        <f>H5</f>
        <v>France</v>
      </c>
      <c r="W7">
        <f>IF(F5="","",SUM(J5,D7,D9))</f>
      </c>
      <c r="X7">
        <f>IF(F5="","",SUM(G5-F5+F7-G7+F9-G9))</f>
      </c>
      <c r="Y7">
        <f>IF(F5="","",SUM(G5,F7,F9))</f>
      </c>
      <c r="AH7" t="str">
        <f>IF(DR7=TRUE,V7,DP7)</f>
        <v>France</v>
      </c>
      <c r="AI7">
        <f t="shared" si="2"/>
      </c>
      <c r="AJ7">
        <f t="shared" si="3"/>
        <v>1</v>
      </c>
      <c r="AK7">
        <f t="shared" si="4"/>
        <v>1</v>
      </c>
      <c r="AL7">
        <f t="shared" si="5"/>
      </c>
      <c r="AN7">
        <f t="shared" si="6"/>
      </c>
      <c r="AO7">
        <f t="shared" si="7"/>
        <v>1</v>
      </c>
      <c r="AP7">
        <f t="shared" si="8"/>
        <v>1</v>
      </c>
      <c r="AQ7">
        <f t="shared" si="9"/>
      </c>
      <c r="AR7" t="str">
        <f>V7</f>
        <v>France</v>
      </c>
      <c r="AS7">
        <f>IF(W7="","",RANK(W7,$W$4:$W$7))</f>
      </c>
      <c r="AT7">
        <f>IF(X7="","",RANK(X7,$X$4:$X$7))</f>
      </c>
      <c r="AU7">
        <f>IF(Y7="","",RANK(Y7,$Y$4:$Y$7))</f>
      </c>
      <c r="AV7" t="str">
        <f>AR7</f>
        <v>France</v>
      </c>
      <c r="AW7">
        <f>IF(AS7="","",AX7)</f>
      </c>
      <c r="AX7">
        <f>IF(AND($AS7=1,$AT7=1,$AU7=1),AX$2,AY7)</f>
      </c>
      <c r="AY7">
        <f>IF(AND($AS7=1,$AT7=1,$AU7=2),AY$2,AZ7)</f>
      </c>
      <c r="AZ7">
        <f>IF(AND($AS7=1,$AT7=1,$AU7=3),AZ$2,BA7)</f>
      </c>
      <c r="BA7">
        <f>IF(AND($AS7=1,$AT7=1,$AU7=4),BA$2,BB7)</f>
      </c>
      <c r="BB7">
        <f>IF(AND($AS7=1,$AT7=2,$AU7=1),BB$2,BC7)</f>
      </c>
      <c r="BC7">
        <f>IF(AND($AS7=1,$AT7=2,$AU7=2),BC$2,BD7)</f>
      </c>
      <c r="BD7">
        <f>IF(AND($AS7=1,$AT7=2,$AU7=3),BD$2,BE7)</f>
      </c>
      <c r="BE7">
        <f>IF(AND($AS7=1,$AT7=2,$AU7=4),BE$2,BF7)</f>
      </c>
      <c r="BF7">
        <f>IF(AND($AS7=1,$AT7=3,$AU7=1),BF$2,BG7)</f>
      </c>
      <c r="BG7">
        <f>IF(AND($AS7=1,$AT7=3,$AU7=2),BG$2,BH7)</f>
      </c>
      <c r="BH7">
        <f>IF(AND($AS7=1,$AT7=3,$AU7=3),BH$2,BI7)</f>
      </c>
      <c r="BI7">
        <f>IF(AND($AS7=1,$AT7=3,$AU7=4),BI$2,BJ7)</f>
      </c>
      <c r="BJ7">
        <f>IF(AND($AS7=1,$AT7=4,$AU7=1),BJ$2,BK7)</f>
      </c>
      <c r="BK7">
        <f>IF(AND($AS7=1,$AT7=4,$AU7=2),BK$2,BL7)</f>
      </c>
      <c r="BL7">
        <f>IF(AND($AS7=1,$AT7=4,$AU7=3),BL$2,BM7)</f>
      </c>
      <c r="BM7">
        <f>IF(AND($AS7=1,$AT7=4,$AU7=4),BM$2,BN7)</f>
      </c>
      <c r="BN7">
        <f>IF(AND($AS7=2,$AT7=1,$AU7=1),BN$2,BO7)</f>
      </c>
      <c r="BO7">
        <f>IF(AND($AS7=2,$AT7=1,$AU7=2),BO$2,BP7)</f>
      </c>
      <c r="BP7">
        <f>IF(AND($AS7=2,$AT7=1,$AU7=3),BP$2,BQ7)</f>
      </c>
      <c r="BQ7">
        <f>IF(AND($AS7=2,$AT7=1,$AU7=4),BQ$2,BR7)</f>
      </c>
      <c r="BR7">
        <f>IF(AND($AS7=2,$AT7=2,$AU7=1),BR$2,BS7)</f>
      </c>
      <c r="BS7">
        <f>IF(AND($AS7=2,$AT7=2,$AU7=2),BS$2,BT7)</f>
      </c>
      <c r="BT7">
        <f>IF(AND($AS7=2,$AT7=2,$AU7=3),BT$2,BU7)</f>
      </c>
      <c r="BU7">
        <f>IF(AND($AS7=2,$AT7=2,$AU7=4),BU$2,BV7)</f>
      </c>
      <c r="BV7">
        <f>IF(AND($AS7=2,$AT7=3,$AU7=1),BV$2,BW7)</f>
      </c>
      <c r="BW7">
        <f>IF(AND($AS7=2,$AT7=3,$AU7=2),BW$2,BX7)</f>
      </c>
      <c r="BX7">
        <f>IF(AND($AS7=2,$AT7=3,$AU7=3),BX$2,BY7)</f>
      </c>
      <c r="BY7">
        <f>IF(AND($AS7=2,$AT7=3,$AU7=4),BY$2,BZ7)</f>
      </c>
      <c r="BZ7">
        <f>IF(AND($AS7=2,$AT7=4,$AU7=1),BZ$2,CA7)</f>
      </c>
      <c r="CA7">
        <f>IF(AND($AS7=2,$AT7=4,$AU7=2),CA$2,CB7)</f>
      </c>
      <c r="CB7">
        <f>IF(AND($AS7=2,$AT7=4,$AU7=3),CB$2,CC7)</f>
      </c>
      <c r="CC7">
        <f>IF(AND($AS7=2,$AT7=4,$AU7=4),CC$2,CD7)</f>
      </c>
      <c r="CD7">
        <f>IF(AND($AS7=3,$AT7=1,$AU7=1),CD$2,CE7)</f>
      </c>
      <c r="CE7">
        <f>IF(AND($AS7=3,$AT7=1,$AU7=2),CE$2,CF7)</f>
      </c>
      <c r="CF7">
        <f>IF(AND($AS7=3,$AT7=1,$AU7=3),CF$2,CG7)</f>
      </c>
      <c r="CG7">
        <f>IF(AND($AS7=3,$AT7=1,$AU7=4),CG$2,CH7)</f>
      </c>
      <c r="CH7">
        <f>IF(AND($AS7=3,$AT7=2,$AU7=1),CH$2,CI7)</f>
      </c>
      <c r="CI7">
        <f>IF(AND($AS7=3,$AT7=2,$AU7=2),CI$2,CJ7)</f>
      </c>
      <c r="CJ7">
        <f>IF(AND($AS7=3,$AT7=2,$AU7=3),CJ$2,CK7)</f>
      </c>
      <c r="CK7">
        <f>IF(AND($AS7=3,$AT7=2,$AU7=4),CK$2,CL7)</f>
      </c>
      <c r="CL7">
        <f>IF(AND($AS7=3,$AT7=3,$AU7=1),CL$2,CM7)</f>
      </c>
      <c r="CM7">
        <f>IF(AND($AS7=3,$AT7=3,$AU7=2),CM$2,CN7)</f>
      </c>
      <c r="CN7">
        <f>IF(AND($AS7=3,$AT7=3,$AU7=3),CN$2,CO7)</f>
      </c>
      <c r="CO7">
        <f>IF(AND($AS7=3,$AT7=3,$AU7=4),CO$2,CP7)</f>
      </c>
      <c r="CP7">
        <f>IF(AND($AS7=3,$AT7=4,$AU7=1),CP$2,CQ7)</f>
      </c>
      <c r="CQ7">
        <f>IF(AND($AS7=3,$AT7=4,$AU7=2),CQ$2,CR7)</f>
      </c>
      <c r="CR7">
        <f>IF(AND($AS7=3,$AT7=4,$AU7=3),CR$2,CS7)</f>
      </c>
      <c r="CS7">
        <f>IF(AND($AS7=3,$AT7=4,$AU7=4),CS$2,CT7)</f>
      </c>
      <c r="CT7">
        <f>IF(AND($AS7=4,$AT7=1,$AU7=1),CT$2,CU7)</f>
      </c>
      <c r="CU7">
        <f>IF(AND($AS7=4,$AT7=1,$AU7=2),CU$2,CV7)</f>
      </c>
      <c r="CV7">
        <f>IF(AND($AS7=4,$AT7=1,$AU7=3),CV$2,CW7)</f>
      </c>
      <c r="CW7">
        <f>IF(AND($AS7=4,$AT7=1,$AU7=4),CW$2,CX7)</f>
      </c>
      <c r="CX7">
        <f>IF(AND($AS7=4,$AT7=2,$AU7=1),CX$2,CY7)</f>
      </c>
      <c r="CY7">
        <f>IF(AND($AS7=4,$AT7=2,$AU7=2),CY$2,CZ7)</f>
      </c>
      <c r="CZ7">
        <f>IF(AND($AS7=4,$AT7=2,$AU7=3),CZ$2,DA7)</f>
      </c>
      <c r="DA7">
        <f>IF(AND($AS7=4,$AT7=2,$AU7=4),DA$2,DB7)</f>
      </c>
      <c r="DB7">
        <f>IF(AND($AS7=4,$AT7=3,$AU7=1),DB$2,DC7)</f>
      </c>
      <c r="DC7">
        <f>IF(AND($AS7=4,$AT7=3,$AU7=2),DC$2,DD7)</f>
      </c>
      <c r="DD7">
        <f>IF(AND($AS7=4,$AT7=3,$AU7=3),DD$2,DE7)</f>
      </c>
      <c r="DE7">
        <f>IF(AND($AS7=4,$AT7=3,$AU7=4),DE$2,DF7)</f>
      </c>
      <c r="DF7">
        <f>IF(AND($AS7=4,$AT7=4,$AU7=1),DF$2,DG7)</f>
      </c>
      <c r="DG7">
        <f>IF(AND($AS7=4,$AT7=4,$AU7=2),DG$2,DH7)</f>
      </c>
      <c r="DH7">
        <f>IF(AND($AS7=4,$AT7=4,$AU7=3),DH$2,DI7)</f>
      </c>
      <c r="DI7">
        <f>IF(AND($AS7=4,$AT7=4,$AU7=4),DI$2,"")</f>
      </c>
      <c r="DK7" t="str">
        <f>AV7</f>
        <v>France</v>
      </c>
      <c r="DL7">
        <f>IF(AW7="",0,RANK(AW7,AW$4:AW$7,1))</f>
        <v>0</v>
      </c>
      <c r="DM7">
        <f>IF(DL7=1,1,"")</f>
      </c>
      <c r="DN7" t="str">
        <f>DK7</f>
        <v>France</v>
      </c>
      <c r="DO7">
        <v>4</v>
      </c>
      <c r="DP7" t="e">
        <f>VLOOKUP(DO7,DL4:DN7,3,FALSE)</f>
        <v>#N/A</v>
      </c>
      <c r="DQ7" t="e">
        <f>VLOOKUP(DP7,DK$4:DL$7,2,FALSE)</f>
        <v>#N/A</v>
      </c>
      <c r="DR7" t="b">
        <f>ISERROR(DP7)</f>
        <v>1</v>
      </c>
      <c r="DS7" t="str">
        <f>EH7</f>
        <v>France</v>
      </c>
      <c r="DT7">
        <f>IF(DL7=1,DK7,"")</f>
      </c>
      <c r="DW7">
        <f>IF(DL7=2,2,"")</f>
      </c>
      <c r="EC7">
        <f>IF(ED7="","",4)</f>
      </c>
      <c r="ED7">
        <f>IF(DL7=2,DK7,"")</f>
      </c>
      <c r="EH7" t="str">
        <f>IF(EC8="3p2",EF8,EP7)</f>
        <v>France</v>
      </c>
      <c r="EI7">
        <f>IF(EJ7="","",4)</f>
      </c>
      <c r="EJ7">
        <f>IF(DL7=1,DK7,"")</f>
      </c>
      <c r="EP7" t="str">
        <f>IF(EO8="4p1",DK7,ER7)</f>
        <v>France</v>
      </c>
      <c r="EQ7">
        <f>IF(DL7=3,3,"")</f>
      </c>
      <c r="ER7" t="str">
        <f>IF(EQ8="2p3",ES9,AH7)</f>
        <v>France</v>
      </c>
      <c r="EX7">
        <f>IF(DL7=3,DK7,"")</f>
      </c>
      <c r="FB7" s="210">
        <v>49</v>
      </c>
      <c r="FC7" s="1" t="s">
        <v>109</v>
      </c>
      <c r="FD7" s="222">
        <f>IF(Q8="","",IF(N4="Tirage",IF(R8="","",R8),Q8))</f>
      </c>
      <c r="FE7" s="237"/>
      <c r="FF7" s="238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359">
        <f>IF(FU5="","","CHAMPION DU MONDE  2010")</f>
      </c>
      <c r="FV7" s="359"/>
      <c r="FW7" s="359"/>
      <c r="FX7" s="359"/>
      <c r="FY7" s="210"/>
    </row>
    <row r="8" spans="1:181" ht="15">
      <c r="A8" s="62" t="s">
        <v>10</v>
      </c>
      <c r="B8" s="64" t="s">
        <v>34</v>
      </c>
      <c r="C8" s="2">
        <v>33</v>
      </c>
      <c r="D8" s="4">
        <f t="shared" si="0"/>
      </c>
      <c r="E8" s="83" t="str">
        <f>VLOOKUP(A8,Tirage!$D$1:$F$40,3,FALSE)</f>
        <v>Mexique</v>
      </c>
      <c r="F8" s="243"/>
      <c r="G8" s="243"/>
      <c r="H8" s="309" t="str">
        <f>VLOOKUP(B8,Tirage!$D$1:$F$40,3,FALSE)</f>
        <v>Uruguay</v>
      </c>
      <c r="I8" s="302"/>
      <c r="J8" s="4">
        <f t="shared" si="1"/>
      </c>
      <c r="K8" s="198">
        <v>39986</v>
      </c>
      <c r="L8" s="199" t="s">
        <v>104</v>
      </c>
      <c r="M8" s="200">
        <v>0.6666666666666666</v>
      </c>
      <c r="N8" s="249" t="s">
        <v>109</v>
      </c>
      <c r="O8" s="69"/>
      <c r="P8" s="12"/>
      <c r="Q8" s="291">
        <f>IF(N4="Tirage","Résultat tirage:",AH8)</f>
      </c>
      <c r="R8" s="335"/>
      <c r="S8" s="335"/>
      <c r="T8" s="335"/>
      <c r="AH8">
        <f>IF(G9="","",AH4)</f>
      </c>
      <c r="AI8">
        <f t="shared" si="2"/>
      </c>
      <c r="AJ8">
        <f t="shared" si="3"/>
        <v>1</v>
      </c>
      <c r="AK8">
        <f t="shared" si="4"/>
        <v>1</v>
      </c>
      <c r="AL8">
        <f t="shared" si="5"/>
      </c>
      <c r="AN8">
        <f t="shared" si="6"/>
      </c>
      <c r="AO8">
        <f t="shared" si="7"/>
        <v>1</v>
      </c>
      <c r="AP8">
        <f t="shared" si="8"/>
        <v>1</v>
      </c>
      <c r="AQ8">
        <f t="shared" si="9"/>
      </c>
      <c r="DM8">
        <f>IF(SUM(DM4:DM7)=2,"2P1","")</f>
      </c>
      <c r="DO8">
        <f>IF(DT4="",DP8,DT4)</f>
      </c>
      <c r="DP8">
        <f>IF(DT5="",DQ8,DT5)</f>
      </c>
      <c r="DQ8">
        <f>IF(DT6="",DR8,DT6)</f>
      </c>
      <c r="DR8">
        <f>IF(DT7="","",DT7)</f>
      </c>
      <c r="DW8">
        <f>IF(SUM(DW4:DW7)=4,"2P2","")</f>
      </c>
      <c r="DY8">
        <f>IF(ED4="",DZ8,ED4)</f>
      </c>
      <c r="DZ8">
        <f>IF(ED5="",EA8,ED5)</f>
      </c>
      <c r="EA8">
        <f>IF(ED6="",EB8,ED6)</f>
      </c>
      <c r="EB8">
        <f>IF(ED7="","",ED7)</f>
      </c>
      <c r="EC8">
        <f>IF(SUM(DW4:DW7)=6,"3P2","")</f>
      </c>
      <c r="ED8">
        <f>IF(EC4=1,ED4,EE8)</f>
      </c>
      <c r="EE8">
        <f>IF(EC5=2,ED5,EF8)</f>
      </c>
      <c r="EF8">
        <f>IF(EC6=3,ED6,EG8)</f>
      </c>
      <c r="EG8">
        <f>IF(EC7=4,ED7,"")</f>
      </c>
      <c r="EI8">
        <f>IF(SUM(DM4:DM7)=3,"3P1","")</f>
      </c>
      <c r="EJ8">
        <f>IF(EI4=1,EJ4,EK8)</f>
      </c>
      <c r="EK8">
        <f>IF(EI5=2,EJ5,EL8)</f>
      </c>
      <c r="EL8">
        <f>IF(EI6=3,EJ6,EM8)</f>
      </c>
      <c r="EM8">
        <f>IF(EI7=4,EJ7,"")</f>
      </c>
      <c r="EO8">
        <f>IF(SUM(DM4:DM7)=4,"4P1","")</f>
      </c>
      <c r="EQ8">
        <f>IF(SUM(EQ4:EQ7)=6,"2P3","")</f>
      </c>
      <c r="ES8">
        <f>IF(EX4="",ET8,EX4)</f>
      </c>
      <c r="ET8">
        <f>IF(EX5="",EU8,EX5)</f>
      </c>
      <c r="EU8">
        <f>IF(EX6="",EV8,EX6)</f>
      </c>
      <c r="EV8">
        <f>IF(EX7="","",EX7)</f>
      </c>
      <c r="FB8" s="210"/>
      <c r="FC8" s="217" t="s">
        <v>112</v>
      </c>
      <c r="FD8" s="223">
        <f>IF(Q17="","",IF(N13="Tirage",IF(R17="","",R17),Q17))</f>
      </c>
      <c r="FE8" s="239"/>
      <c r="FF8" s="240"/>
      <c r="FG8" s="211"/>
      <c r="FH8" s="210"/>
      <c r="FI8" s="210"/>
      <c r="FJ8" s="245">
        <v>39996</v>
      </c>
      <c r="FK8" s="219" t="s">
        <v>126</v>
      </c>
      <c r="FL8" s="220" t="s">
        <v>125</v>
      </c>
      <c r="FM8" s="210"/>
      <c r="FN8" s="210"/>
      <c r="FO8" s="210"/>
      <c r="FP8" s="210"/>
      <c r="FQ8" s="210"/>
      <c r="FR8" s="210"/>
      <c r="FS8" s="210"/>
      <c r="FT8" s="210"/>
      <c r="FU8" s="359"/>
      <c r="FV8" s="359"/>
      <c r="FW8" s="359"/>
      <c r="FX8" s="359"/>
      <c r="FY8" s="210"/>
    </row>
    <row r="9" spans="1:181" ht="15">
      <c r="A9" s="63" t="s">
        <v>37</v>
      </c>
      <c r="B9" s="65" t="s">
        <v>9</v>
      </c>
      <c r="C9" s="5">
        <v>34</v>
      </c>
      <c r="D9" s="6">
        <f t="shared" si="0"/>
      </c>
      <c r="E9" s="84" t="str">
        <f>VLOOKUP(A9,Tirage!$D$1:$F$40,3,FALSE)</f>
        <v>France</v>
      </c>
      <c r="F9" s="244"/>
      <c r="G9" s="244"/>
      <c r="H9" s="337" t="str">
        <f>VLOOKUP(B9,Tirage!$D$1:$F$40,3,FALSE)</f>
        <v>Afrique du Sud</v>
      </c>
      <c r="I9" s="300"/>
      <c r="J9" s="6">
        <f t="shared" si="1"/>
      </c>
      <c r="K9" s="201">
        <v>39986</v>
      </c>
      <c r="L9" s="202" t="s">
        <v>105</v>
      </c>
      <c r="M9" s="203">
        <v>0.6666666666666666</v>
      </c>
      <c r="N9" s="250" t="s">
        <v>110</v>
      </c>
      <c r="O9" s="109"/>
      <c r="P9" s="13"/>
      <c r="Q9" s="292">
        <f>IF(N5="Tirage","Résultat tirage:",AH9)</f>
      </c>
      <c r="R9" s="336"/>
      <c r="S9" s="336"/>
      <c r="T9" s="336"/>
      <c r="AG9">
        <f>IF(J9="","",1)</f>
      </c>
      <c r="AH9">
        <f>IF(G9="","",AH5)</f>
      </c>
      <c r="AI9">
        <f t="shared" si="2"/>
      </c>
      <c r="AJ9">
        <f t="shared" si="3"/>
        <v>1</v>
      </c>
      <c r="AK9">
        <f t="shared" si="4"/>
        <v>1</v>
      </c>
      <c r="AL9">
        <f t="shared" si="5"/>
      </c>
      <c r="AN9">
        <f t="shared" si="6"/>
      </c>
      <c r="AO9">
        <f t="shared" si="7"/>
        <v>1</v>
      </c>
      <c r="AP9">
        <f t="shared" si="8"/>
        <v>1</v>
      </c>
      <c r="AQ9">
        <f t="shared" si="9"/>
      </c>
      <c r="DO9">
        <f>IF(DT7="",DP9,DT7)</f>
      </c>
      <c r="DP9">
        <f>IF(DT6="",DQ9,DT6)</f>
      </c>
      <c r="DQ9">
        <f>IF(DT5="",DR9,DT5)</f>
      </c>
      <c r="DR9">
        <f>IF(DT4="","",DT4)</f>
      </c>
      <c r="DY9">
        <f>IF(ED7="",DZ9,ED7)</f>
      </c>
      <c r="DZ9">
        <f>IF(ED6="",EA9,ED6)</f>
      </c>
      <c r="EA9">
        <f>IF(ED5="",EB9,ED5)</f>
      </c>
      <c r="EB9">
        <f>IF(ED4="","",ED4)</f>
      </c>
      <c r="ES9">
        <f>IF(EX7="",ET9,EX7)</f>
      </c>
      <c r="ET9">
        <f>IF(EX6="",EU9,EX6)</f>
      </c>
      <c r="EU9">
        <f>IF(EX5="",EV9,EX5)</f>
      </c>
      <c r="EV9">
        <f>IF(EX4="","",EX4)</f>
      </c>
      <c r="FB9" s="210"/>
      <c r="FC9" s="7"/>
      <c r="FD9" s="210"/>
      <c r="FE9" s="7"/>
      <c r="FF9" s="7"/>
      <c r="FG9" s="210"/>
      <c r="FH9" s="214">
        <v>58</v>
      </c>
      <c r="FI9" s="206"/>
      <c r="FJ9" s="231">
        <f>IF((OR(FE7="",FE8="",AND(FE7=FE8,OR(FF7="",FF8="")))),"",(IF((FE7+FF7)&gt;(FE8+FF8),FD7,FD8)))</f>
      </c>
      <c r="FK9" s="287"/>
      <c r="FL9" s="234"/>
      <c r="FM9" s="210"/>
      <c r="FN9" s="210"/>
      <c r="FO9" s="210"/>
      <c r="FP9" s="210"/>
      <c r="FQ9" s="210"/>
      <c r="FR9" s="210"/>
      <c r="FS9" s="210"/>
      <c r="FT9" s="210"/>
      <c r="FU9" s="359"/>
      <c r="FV9" s="359"/>
      <c r="FW9" s="359"/>
      <c r="FX9" s="359"/>
      <c r="FY9" s="210"/>
    </row>
    <row r="10" spans="1:181" ht="15" customHeight="1" hidden="1">
      <c r="A10" s="62"/>
      <c r="B10" s="71"/>
      <c r="C10" s="72"/>
      <c r="D10" s="54"/>
      <c r="E10" s="99"/>
      <c r="F10" s="100"/>
      <c r="G10" s="100"/>
      <c r="H10" s="99"/>
      <c r="I10" s="99"/>
      <c r="J10" s="54"/>
      <c r="K10" s="188"/>
      <c r="L10" s="73"/>
      <c r="M10" s="14"/>
      <c r="N10" s="67"/>
      <c r="O10" s="74"/>
      <c r="P10" s="74"/>
      <c r="Q10" s="75"/>
      <c r="R10" s="76"/>
      <c r="S10" s="76"/>
      <c r="T10" s="76"/>
      <c r="AX10">
        <v>111</v>
      </c>
      <c r="AY10">
        <v>112</v>
      </c>
      <c r="AZ10">
        <v>113</v>
      </c>
      <c r="BA10">
        <v>114</v>
      </c>
      <c r="BB10">
        <v>121</v>
      </c>
      <c r="BC10">
        <v>122</v>
      </c>
      <c r="BD10">
        <v>123</v>
      </c>
      <c r="BE10">
        <v>124</v>
      </c>
      <c r="BF10">
        <v>131</v>
      </c>
      <c r="BG10">
        <v>132</v>
      </c>
      <c r="BH10">
        <v>133</v>
      </c>
      <c r="BI10">
        <v>134</v>
      </c>
      <c r="BJ10">
        <v>141</v>
      </c>
      <c r="BK10">
        <v>142</v>
      </c>
      <c r="BL10">
        <v>143</v>
      </c>
      <c r="BM10">
        <v>144</v>
      </c>
      <c r="BN10">
        <v>211</v>
      </c>
      <c r="BO10">
        <v>212</v>
      </c>
      <c r="BP10">
        <v>213</v>
      </c>
      <c r="BQ10">
        <v>214</v>
      </c>
      <c r="BR10">
        <v>221</v>
      </c>
      <c r="BS10">
        <v>222</v>
      </c>
      <c r="BT10">
        <v>223</v>
      </c>
      <c r="BU10">
        <v>224</v>
      </c>
      <c r="BV10">
        <v>231</v>
      </c>
      <c r="BW10">
        <v>232</v>
      </c>
      <c r="BX10">
        <v>233</v>
      </c>
      <c r="BY10">
        <v>234</v>
      </c>
      <c r="BZ10">
        <v>241</v>
      </c>
      <c r="CA10">
        <v>242</v>
      </c>
      <c r="CB10">
        <v>243</v>
      </c>
      <c r="CC10">
        <v>244</v>
      </c>
      <c r="CD10">
        <v>311</v>
      </c>
      <c r="CE10">
        <v>312</v>
      </c>
      <c r="CF10">
        <v>313</v>
      </c>
      <c r="CG10">
        <v>314</v>
      </c>
      <c r="CH10">
        <v>321</v>
      </c>
      <c r="CI10">
        <v>322</v>
      </c>
      <c r="CJ10">
        <v>323</v>
      </c>
      <c r="CK10">
        <v>324</v>
      </c>
      <c r="CL10">
        <v>331</v>
      </c>
      <c r="CM10">
        <v>332</v>
      </c>
      <c r="CN10">
        <v>333</v>
      </c>
      <c r="CO10">
        <v>334</v>
      </c>
      <c r="CP10">
        <v>341</v>
      </c>
      <c r="CQ10">
        <v>342</v>
      </c>
      <c r="CR10">
        <v>343</v>
      </c>
      <c r="CS10">
        <v>344</v>
      </c>
      <c r="CT10">
        <v>411</v>
      </c>
      <c r="CU10">
        <v>412</v>
      </c>
      <c r="CV10">
        <v>413</v>
      </c>
      <c r="CW10">
        <v>414</v>
      </c>
      <c r="CX10">
        <v>421</v>
      </c>
      <c r="CY10">
        <v>422</v>
      </c>
      <c r="CZ10">
        <v>423</v>
      </c>
      <c r="DA10">
        <v>424</v>
      </c>
      <c r="DB10">
        <v>431</v>
      </c>
      <c r="DC10">
        <v>432</v>
      </c>
      <c r="DD10">
        <v>433</v>
      </c>
      <c r="DE10">
        <v>434</v>
      </c>
      <c r="DF10">
        <v>441</v>
      </c>
      <c r="DG10">
        <v>442</v>
      </c>
      <c r="DH10">
        <v>443</v>
      </c>
      <c r="DI10">
        <v>444</v>
      </c>
      <c r="DM10" t="s">
        <v>86</v>
      </c>
      <c r="DW10" t="s">
        <v>87</v>
      </c>
      <c r="EC10" t="s">
        <v>88</v>
      </c>
      <c r="EI10" t="s">
        <v>89</v>
      </c>
      <c r="EO10" t="s">
        <v>90</v>
      </c>
      <c r="EQ10" t="s">
        <v>91</v>
      </c>
      <c r="FB10" s="210"/>
      <c r="FC10" s="7"/>
      <c r="FD10" s="210"/>
      <c r="FE10" s="7"/>
      <c r="FF10" s="7"/>
      <c r="FG10" s="210"/>
      <c r="FH10" s="210"/>
      <c r="FI10" s="207"/>
      <c r="FJ10" s="232"/>
      <c r="FK10" s="288"/>
      <c r="FL10" s="236"/>
      <c r="FM10" s="210"/>
      <c r="FN10" s="210"/>
      <c r="FO10" s="210"/>
      <c r="FP10" s="210"/>
      <c r="FQ10" s="210"/>
      <c r="FR10" s="210"/>
      <c r="FS10" s="210"/>
      <c r="FT10" s="210"/>
      <c r="FU10" s="359"/>
      <c r="FV10" s="359"/>
      <c r="FW10" s="359"/>
      <c r="FX10" s="359"/>
      <c r="FY10" s="210"/>
    </row>
    <row r="11" spans="1:181" ht="15">
      <c r="A11" s="103"/>
      <c r="B11" s="56"/>
      <c r="C11" s="2"/>
      <c r="D11" s="115" t="s">
        <v>83</v>
      </c>
      <c r="E11" s="310" t="s">
        <v>2</v>
      </c>
      <c r="F11" s="311"/>
      <c r="G11" s="311"/>
      <c r="H11" s="311"/>
      <c r="I11" s="312"/>
      <c r="J11" s="115" t="s">
        <v>83</v>
      </c>
      <c r="K11" s="189" t="s">
        <v>11</v>
      </c>
      <c r="L11" s="110" t="s">
        <v>12</v>
      </c>
      <c r="M11" s="116" t="s">
        <v>13</v>
      </c>
      <c r="N11" s="338" t="s">
        <v>132</v>
      </c>
      <c r="O11" s="333"/>
      <c r="P11" s="333"/>
      <c r="Q11" s="334"/>
      <c r="R11" s="117" t="s">
        <v>83</v>
      </c>
      <c r="S11" s="279" t="s">
        <v>84</v>
      </c>
      <c r="T11" s="117" t="s">
        <v>85</v>
      </c>
      <c r="W11" t="s">
        <v>83</v>
      </c>
      <c r="X11" t="s">
        <v>84</v>
      </c>
      <c r="Y11" t="s">
        <v>85</v>
      </c>
      <c r="AI11" t="s">
        <v>92</v>
      </c>
      <c r="AJ11" t="s">
        <v>93</v>
      </c>
      <c r="AK11" t="s">
        <v>94</v>
      </c>
      <c r="AL11" t="s">
        <v>95</v>
      </c>
      <c r="AN11" t="s">
        <v>92</v>
      </c>
      <c r="AO11" t="s">
        <v>93</v>
      </c>
      <c r="AP11" t="s">
        <v>94</v>
      </c>
      <c r="AQ11" t="s">
        <v>95</v>
      </c>
      <c r="AS11" t="s">
        <v>96</v>
      </c>
      <c r="AT11" t="s">
        <v>97</v>
      </c>
      <c r="AU11" t="s">
        <v>98</v>
      </c>
      <c r="FB11" s="210"/>
      <c r="FC11" s="7"/>
      <c r="FD11" s="245">
        <v>39990</v>
      </c>
      <c r="FE11" s="219" t="s">
        <v>126</v>
      </c>
      <c r="FF11" s="220" t="s">
        <v>125</v>
      </c>
      <c r="FG11" s="212"/>
      <c r="FH11" s="210"/>
      <c r="FI11" s="208"/>
      <c r="FJ11" s="233">
        <f>IF((OR(FE12="",FE13="",AND(FE12=FE13,OR(FF12="",FF13="")))),"",(IF((FE12+FF12)&gt;(FE13+FF13),FD12,FD13)))</f>
      </c>
      <c r="FK11" s="239"/>
      <c r="FL11" s="235"/>
      <c r="FM11" s="211"/>
      <c r="FN11" s="210"/>
      <c r="FO11" s="210"/>
      <c r="FP11" s="228" t="s">
        <v>129</v>
      </c>
      <c r="FQ11" s="210"/>
      <c r="FR11" s="210"/>
      <c r="FS11" s="210"/>
      <c r="FT11" s="210"/>
      <c r="FU11" s="359"/>
      <c r="FV11" s="359"/>
      <c r="FW11" s="359"/>
      <c r="FX11" s="359"/>
      <c r="FY11" s="210"/>
    </row>
    <row r="12" spans="1:181" ht="15">
      <c r="A12" s="62" t="s">
        <v>14</v>
      </c>
      <c r="B12" s="66" t="s">
        <v>15</v>
      </c>
      <c r="C12" s="2">
        <v>3</v>
      </c>
      <c r="D12" s="3">
        <f aca="true" t="shared" si="11" ref="D12:D17">IF(F12="","",AI12)</f>
      </c>
      <c r="E12" s="85" t="str">
        <f>VLOOKUP(A12,Tirage!$D$1:$F$40,3,FALSE)</f>
        <v>Argentine</v>
      </c>
      <c r="F12" s="243"/>
      <c r="G12" s="243"/>
      <c r="H12" s="313" t="str">
        <f>VLOOKUP(B12,Tirage!$D$1:$F$40,3,FALSE)</f>
        <v>Nigeria</v>
      </c>
      <c r="I12" s="302"/>
      <c r="J12" s="3">
        <f aca="true" t="shared" si="12" ref="J12:J17">IF(F12="","",AO12)</f>
      </c>
      <c r="K12" s="198">
        <v>39976</v>
      </c>
      <c r="L12" s="199" t="s">
        <v>100</v>
      </c>
      <c r="M12" s="200">
        <v>0.6666666666666666</v>
      </c>
      <c r="N12" s="251">
        <f>IF(AND(OR(DM16="2P1",EI16="3P1",EO16="4P1"),AG17=1),"Tirage",1)</f>
        <v>1</v>
      </c>
      <c r="O12" s="11"/>
      <c r="P12" s="11"/>
      <c r="Q12" s="15" t="str">
        <f>DS12</f>
        <v>Argentine</v>
      </c>
      <c r="R12" s="146">
        <f>IF(W12="","",VLOOKUP(Q12,V12:Y15,2,FALSE))</f>
      </c>
      <c r="S12" s="146">
        <f>IF(X12="","",VLOOKUP(Q12,V12:Y15,3,FALSE))</f>
      </c>
      <c r="T12" s="147">
        <f>IF($Y$4="","",VLOOKUP(Q12,V12:Y15,4,FALSE))</f>
      </c>
      <c r="V12" t="str">
        <f>E12</f>
        <v>Argentine</v>
      </c>
      <c r="W12">
        <f>IF(F12="","",SUM(D12,D15,J17))</f>
      </c>
      <c r="X12">
        <f>IF(F12="","",SUM((F12-G12)+(F15-G15)+(G17-F17)))</f>
      </c>
      <c r="Y12">
        <f>IF(F12="","",SUM(F12,F15,G17))</f>
      </c>
      <c r="AH12" t="str">
        <f>IF(DR12=TRUE,V12,DP12)</f>
        <v>Argentine</v>
      </c>
      <c r="AI12">
        <f aca="true" t="shared" si="13" ref="AI12:AI17">IF(G12="","",AJ12)</f>
      </c>
      <c r="AJ12">
        <f aca="true" t="shared" si="14" ref="AJ12:AJ17">IF(F12&lt;G12,0,AK12)</f>
        <v>1</v>
      </c>
      <c r="AK12">
        <f aca="true" t="shared" si="15" ref="AK12:AK17">IF(F12=G12,1,AL12)</f>
        <v>1</v>
      </c>
      <c r="AL12">
        <f aca="true" t="shared" si="16" ref="AL12:AL17">IF(F12&gt;G12,3,"")</f>
      </c>
      <c r="AN12">
        <f aca="true" t="shared" si="17" ref="AN12:AN17">IF(G12="","",AO12)</f>
      </c>
      <c r="AO12">
        <f aca="true" t="shared" si="18" ref="AO12:AO17">IF(G12&lt;F12,0,AP12)</f>
        <v>1</v>
      </c>
      <c r="AP12">
        <f aca="true" t="shared" si="19" ref="AP12:AP17">IF(G12=F12,1,AQ12)</f>
        <v>1</v>
      </c>
      <c r="AQ12">
        <f aca="true" t="shared" si="20" ref="AQ12:AQ17">IF(G12&gt;F12,3,"")</f>
      </c>
      <c r="AR12" t="str">
        <f>V12</f>
        <v>Argentine</v>
      </c>
      <c r="AS12">
        <f>IF(W12="","",RANK(W12,W12:W15))</f>
      </c>
      <c r="AT12">
        <f>IF(X12="","",RANK(X12,X12:X15))</f>
      </c>
      <c r="AU12">
        <f>IF(Y12="","",RANK(Y12,Y12:Y15))</f>
      </c>
      <c r="AV12" t="str">
        <f>AR12</f>
        <v>Argentine</v>
      </c>
      <c r="AW12">
        <f>IF(AS12="","",AX12)</f>
      </c>
      <c r="AX12">
        <f aca="true" t="shared" si="21" ref="AX12:AX63">IF(AND($AS12=1,$AT12=1,$AU12=1),AX$2,AY12)</f>
      </c>
      <c r="AY12">
        <f aca="true" t="shared" si="22" ref="AY12:AY63">IF(AND($AS12=1,$AT12=1,$AU12=2),AY$2,AZ12)</f>
      </c>
      <c r="AZ12">
        <f aca="true" t="shared" si="23" ref="AZ12:AZ63">IF(AND($AS12=1,$AT12=1,$AU12=3),AZ$2,BA12)</f>
      </c>
      <c r="BA12">
        <f aca="true" t="shared" si="24" ref="BA12:BA63">IF(AND($AS12=1,$AT12=1,$AU12=4),BA$2,BB12)</f>
      </c>
      <c r="BB12">
        <f aca="true" t="shared" si="25" ref="BB12:BB63">IF(AND($AS12=1,$AT12=2,$AU12=1),BB$2,BC12)</f>
      </c>
      <c r="BC12">
        <f aca="true" t="shared" si="26" ref="BC12:BC63">IF(AND($AS12=1,$AT12=2,$AU12=2),BC$2,BD12)</f>
      </c>
      <c r="BD12">
        <f aca="true" t="shared" si="27" ref="BD12:BD63">IF(AND($AS12=1,$AT12=2,$AU12=3),BD$2,BE12)</f>
      </c>
      <c r="BE12">
        <f aca="true" t="shared" si="28" ref="BE12:BE63">IF(AND($AS12=1,$AT12=2,$AU12=4),BE$2,BF12)</f>
      </c>
      <c r="BF12">
        <f aca="true" t="shared" si="29" ref="BF12:BF63">IF(AND($AS12=1,$AT12=3,$AU12=1),BF$2,BG12)</f>
      </c>
      <c r="BG12">
        <f aca="true" t="shared" si="30" ref="BG12:BG63">IF(AND($AS12=1,$AT12=3,$AU12=2),BG$2,BH12)</f>
      </c>
      <c r="BH12">
        <f aca="true" t="shared" si="31" ref="BH12:BH63">IF(AND($AS12=1,$AT12=3,$AU12=3),BH$2,BI12)</f>
      </c>
      <c r="BI12">
        <f aca="true" t="shared" si="32" ref="BI12:BI63">IF(AND($AS12=1,$AT12=3,$AU12=4),BI$2,BJ12)</f>
      </c>
      <c r="BJ12">
        <f aca="true" t="shared" si="33" ref="BJ12:BJ63">IF(AND($AS12=1,$AT12=4,$AU12=1),BJ$2,BK12)</f>
      </c>
      <c r="BK12">
        <f aca="true" t="shared" si="34" ref="BK12:BK63">IF(AND($AS12=1,$AT12=4,$AU12=2),BK$2,BL12)</f>
      </c>
      <c r="BL12">
        <f aca="true" t="shared" si="35" ref="BL12:BL63">IF(AND($AS12=1,$AT12=4,$AU12=3),BL$2,BM12)</f>
      </c>
      <c r="BM12">
        <f aca="true" t="shared" si="36" ref="BM12:BM63">IF(AND($AS12=1,$AT12=4,$AU12=4),BM$2,BN12)</f>
      </c>
      <c r="BN12">
        <f aca="true" t="shared" si="37" ref="BN12:BN63">IF(AND($AS12=2,$AT12=1,$AU12=1),BN$2,BO12)</f>
      </c>
      <c r="BO12">
        <f aca="true" t="shared" si="38" ref="BO12:BO63">IF(AND($AS12=2,$AT12=1,$AU12=2),BO$2,BP12)</f>
      </c>
      <c r="BP12">
        <f aca="true" t="shared" si="39" ref="BP12:BP63">IF(AND($AS12=2,$AT12=1,$AU12=3),BP$2,BQ12)</f>
      </c>
      <c r="BQ12">
        <f aca="true" t="shared" si="40" ref="BQ12:BQ63">IF(AND($AS12=2,$AT12=1,$AU12=4),BQ$2,BR12)</f>
      </c>
      <c r="BR12">
        <f aca="true" t="shared" si="41" ref="BR12:BR63">IF(AND($AS12=2,$AT12=2,$AU12=1),BR$2,BS12)</f>
      </c>
      <c r="BS12">
        <f aca="true" t="shared" si="42" ref="BS12:BS63">IF(AND($AS12=2,$AT12=2,$AU12=2),BS$2,BT12)</f>
      </c>
      <c r="BT12">
        <f aca="true" t="shared" si="43" ref="BT12:BT63">IF(AND($AS12=2,$AT12=2,$AU12=3),BT$2,BU12)</f>
      </c>
      <c r="BU12">
        <f aca="true" t="shared" si="44" ref="BU12:BU63">IF(AND($AS12=2,$AT12=2,$AU12=4),BU$2,BV12)</f>
      </c>
      <c r="BV12">
        <f aca="true" t="shared" si="45" ref="BV12:BV63">IF(AND($AS12=2,$AT12=3,$AU12=1),BV$2,BW12)</f>
      </c>
      <c r="BW12">
        <f aca="true" t="shared" si="46" ref="BW12:BW63">IF(AND($AS12=2,$AT12=3,$AU12=2),BW$2,BX12)</f>
      </c>
      <c r="BX12">
        <f aca="true" t="shared" si="47" ref="BX12:BX63">IF(AND($AS12=2,$AT12=3,$AU12=3),BX$2,BY12)</f>
      </c>
      <c r="BY12">
        <f aca="true" t="shared" si="48" ref="BY12:BY63">IF(AND($AS12=2,$AT12=3,$AU12=4),BY$2,BZ12)</f>
      </c>
      <c r="BZ12">
        <f aca="true" t="shared" si="49" ref="BZ12:BZ63">IF(AND($AS12=2,$AT12=4,$AU12=1),BZ$2,CA12)</f>
      </c>
      <c r="CA12">
        <f aca="true" t="shared" si="50" ref="CA12:CA63">IF(AND($AS12=2,$AT12=4,$AU12=2),CA$2,CB12)</f>
      </c>
      <c r="CB12">
        <f aca="true" t="shared" si="51" ref="CB12:CB63">IF(AND($AS12=2,$AT12=4,$AU12=3),CB$2,CC12)</f>
      </c>
      <c r="CC12">
        <f aca="true" t="shared" si="52" ref="CC12:CC63">IF(AND($AS12=2,$AT12=4,$AU12=4),CC$2,CD12)</f>
      </c>
      <c r="CD12">
        <f aca="true" t="shared" si="53" ref="CD12:CD63">IF(AND($AS12=3,$AT12=1,$AU12=1),CD$2,CE12)</f>
      </c>
      <c r="CE12">
        <f aca="true" t="shared" si="54" ref="CE12:CE63">IF(AND($AS12=3,$AT12=1,$AU12=2),CE$2,CF12)</f>
      </c>
      <c r="CF12">
        <f aca="true" t="shared" si="55" ref="CF12:CF63">IF(AND($AS12=3,$AT12=1,$AU12=3),CF$2,CG12)</f>
      </c>
      <c r="CG12">
        <f aca="true" t="shared" si="56" ref="CG12:CG63">IF(AND($AS12=3,$AT12=1,$AU12=4),CG$2,CH12)</f>
      </c>
      <c r="CH12">
        <f aca="true" t="shared" si="57" ref="CH12:CH63">IF(AND($AS12=3,$AT12=2,$AU12=1),CH$2,CI12)</f>
      </c>
      <c r="CI12">
        <f aca="true" t="shared" si="58" ref="CI12:CI63">IF(AND($AS12=3,$AT12=2,$AU12=2),CI$2,CJ12)</f>
      </c>
      <c r="CJ12">
        <f aca="true" t="shared" si="59" ref="CJ12:CJ63">IF(AND($AS12=3,$AT12=2,$AU12=3),CJ$2,CK12)</f>
      </c>
      <c r="CK12">
        <f aca="true" t="shared" si="60" ref="CK12:CK63">IF(AND($AS12=3,$AT12=2,$AU12=4),CK$2,CL12)</f>
      </c>
      <c r="CL12">
        <f aca="true" t="shared" si="61" ref="CL12:CL63">IF(AND($AS12=3,$AT12=3,$AU12=1),CL$2,CM12)</f>
      </c>
      <c r="CM12">
        <f aca="true" t="shared" si="62" ref="CM12:CM63">IF(AND($AS12=3,$AT12=3,$AU12=2),CM$2,CN12)</f>
      </c>
      <c r="CN12">
        <f aca="true" t="shared" si="63" ref="CN12:CN63">IF(AND($AS12=3,$AT12=3,$AU12=3),CN$2,CO12)</f>
      </c>
      <c r="CO12">
        <f aca="true" t="shared" si="64" ref="CO12:CO63">IF(AND($AS12=3,$AT12=3,$AU12=4),CO$2,CP12)</f>
      </c>
      <c r="CP12">
        <f aca="true" t="shared" si="65" ref="CP12:CP63">IF(AND($AS12=3,$AT12=4,$AU12=1),CP$2,CQ12)</f>
      </c>
      <c r="CQ12">
        <f aca="true" t="shared" si="66" ref="CQ12:CQ63">IF(AND($AS12=3,$AT12=4,$AU12=2),CQ$2,CR12)</f>
      </c>
      <c r="CR12">
        <f aca="true" t="shared" si="67" ref="CR12:CR63">IF(AND($AS12=3,$AT12=4,$AU12=3),CR$2,CS12)</f>
      </c>
      <c r="CS12">
        <f aca="true" t="shared" si="68" ref="CS12:CS63">IF(AND($AS12=3,$AT12=4,$AU12=4),CS$2,CT12)</f>
      </c>
      <c r="CT12">
        <f aca="true" t="shared" si="69" ref="CT12:CT63">IF(AND($AS12=4,$AT12=1,$AU12=1),CT$2,CU12)</f>
      </c>
      <c r="CU12">
        <f aca="true" t="shared" si="70" ref="CU12:CU63">IF(AND($AS12=4,$AT12=1,$AU12=2),CU$2,CV12)</f>
      </c>
      <c r="CV12">
        <f aca="true" t="shared" si="71" ref="CV12:CV63">IF(AND($AS12=4,$AT12=1,$AU12=3),CV$2,CW12)</f>
      </c>
      <c r="CW12">
        <f aca="true" t="shared" si="72" ref="CW12:CW63">IF(AND($AS12=4,$AT12=1,$AU12=4),CW$2,CX12)</f>
      </c>
      <c r="CX12">
        <f aca="true" t="shared" si="73" ref="CX12:CX63">IF(AND($AS12=4,$AT12=2,$AU12=1),CX$2,CY12)</f>
      </c>
      <c r="CY12">
        <f aca="true" t="shared" si="74" ref="CY12:CY63">IF(AND($AS12=4,$AT12=2,$AU12=2),CY$2,CZ12)</f>
      </c>
      <c r="CZ12">
        <f aca="true" t="shared" si="75" ref="CZ12:CZ63">IF(AND($AS12=4,$AT12=2,$AU12=3),CZ$2,DA12)</f>
      </c>
      <c r="DA12">
        <f aca="true" t="shared" si="76" ref="DA12:DA63">IF(AND($AS12=4,$AT12=2,$AU12=4),DA$2,DB12)</f>
      </c>
      <c r="DB12">
        <f aca="true" t="shared" si="77" ref="DB12:DB63">IF(AND($AS12=4,$AT12=3,$AU12=1),DB$2,DC12)</f>
      </c>
      <c r="DC12">
        <f aca="true" t="shared" si="78" ref="DC12:DC63">IF(AND($AS12=4,$AT12=3,$AU12=2),DC$2,DD12)</f>
      </c>
      <c r="DD12">
        <f aca="true" t="shared" si="79" ref="DD12:DD63">IF(AND($AS12=4,$AT12=3,$AU12=3),DD$2,DE12)</f>
      </c>
      <c r="DE12">
        <f aca="true" t="shared" si="80" ref="DE12:DE63">IF(AND($AS12=4,$AT12=3,$AU12=4),DE$2,DF12)</f>
      </c>
      <c r="DF12">
        <f aca="true" t="shared" si="81" ref="DF12:DF63">IF(AND($AS12=4,$AT12=4,$AU12=1),DF$2,DG12)</f>
      </c>
      <c r="DG12">
        <f aca="true" t="shared" si="82" ref="DG12:DG63">IF(AND($AS12=4,$AT12=4,$AU12=2),DG$2,DH12)</f>
      </c>
      <c r="DH12">
        <f aca="true" t="shared" si="83" ref="DH12:DH63">IF(AND($AS12=4,$AT12=4,$AU12=3),DH$2,DI12)</f>
      </c>
      <c r="DI12">
        <f aca="true" t="shared" si="84" ref="DI12:DI63">IF(AND($AS12=4,$AT12=4,$AU12=4),DI$2,"")</f>
      </c>
      <c r="DK12" t="str">
        <f>AV12</f>
        <v>Argentine</v>
      </c>
      <c r="DL12">
        <f>IF(AW12="",0,RANK(AW12,AW12:AW15,1))</f>
        <v>0</v>
      </c>
      <c r="DM12">
        <f>IF(DL12=1,1,"")</f>
      </c>
      <c r="DN12" t="str">
        <f>DK12</f>
        <v>Argentine</v>
      </c>
      <c r="DO12">
        <v>1</v>
      </c>
      <c r="DP12" t="e">
        <f>VLOOKUP(DO12,DL12:DN15,3,FALSE)</f>
        <v>#N/A</v>
      </c>
      <c r="DQ12" t="e">
        <f>VLOOKUP(DP12,DK12:DL15,2,FALSE)</f>
        <v>#N/A</v>
      </c>
      <c r="DR12" t="b">
        <f>ISERROR(DP12)</f>
        <v>1</v>
      </c>
      <c r="DS12" t="str">
        <f>IF(DM16="2p1",DO16,EN12)</f>
        <v>Argentine</v>
      </c>
      <c r="DT12">
        <f>IF(DL12=1,DK12,"")</f>
      </c>
      <c r="DW12">
        <f>IF(DL12=2,2,"")</f>
      </c>
      <c r="EC12">
        <f>IF(ED12="","",1)</f>
      </c>
      <c r="ED12">
        <f>IF(DL12=2,DK12,"")</f>
      </c>
      <c r="EI12">
        <f>IF(EJ12="","",1)</f>
      </c>
      <c r="EJ12">
        <f>IF(DL12=1,DK12,"")</f>
      </c>
      <c r="EN12" t="str">
        <f>IF(EI16="3p1",EJ16,EP12)</f>
        <v>Argentine</v>
      </c>
      <c r="EP12" t="str">
        <f>IF(EO16="4p1",DK12,AH12)</f>
        <v>Argentine</v>
      </c>
      <c r="EQ12">
        <f>IF(DL12=3,3,"")</f>
      </c>
      <c r="FB12" s="210">
        <v>50</v>
      </c>
      <c r="FC12" s="1" t="s">
        <v>113</v>
      </c>
      <c r="FD12" s="222">
        <f>IF(Q24="","",IF(N20="Tirage",IF(R24="","",R24),Q24))</f>
      </c>
      <c r="FE12" s="237"/>
      <c r="FF12" s="238"/>
      <c r="FG12" s="214"/>
      <c r="FH12" s="210"/>
      <c r="FI12" s="210"/>
      <c r="FJ12" s="210"/>
      <c r="FK12" s="210"/>
      <c r="FL12" s="7"/>
      <c r="FM12" s="212"/>
      <c r="FN12" s="210"/>
      <c r="FO12" s="210"/>
      <c r="FP12" s="210"/>
      <c r="FQ12" s="213"/>
      <c r="FR12" s="210"/>
      <c r="FS12" s="210"/>
      <c r="FT12" s="210"/>
      <c r="FU12" s="210"/>
      <c r="FV12" s="210"/>
      <c r="FW12" s="210"/>
      <c r="FX12" s="210"/>
      <c r="FY12" s="210"/>
    </row>
    <row r="13" spans="1:181" ht="15">
      <c r="A13" s="62" t="s">
        <v>44</v>
      </c>
      <c r="B13" s="66" t="s">
        <v>46</v>
      </c>
      <c r="C13" s="2">
        <v>4</v>
      </c>
      <c r="D13" s="4">
        <f t="shared" si="11"/>
      </c>
      <c r="E13" s="85" t="str">
        <f>VLOOKUP(A13,Tirage!$D$1:$F$40,3,FALSE)</f>
        <v>République de Corée</v>
      </c>
      <c r="F13" s="243"/>
      <c r="G13" s="243"/>
      <c r="H13" s="313" t="str">
        <f>VLOOKUP(B13,Tirage!$D$1:$F$40,3,FALSE)</f>
        <v>Grèce</v>
      </c>
      <c r="I13" s="302"/>
      <c r="J13" s="4">
        <f t="shared" si="12"/>
      </c>
      <c r="K13" s="198">
        <v>39976</v>
      </c>
      <c r="L13" s="199" t="s">
        <v>106</v>
      </c>
      <c r="M13" s="200">
        <v>0.5625</v>
      </c>
      <c r="N13" s="252">
        <f>IF(AND(OR(DM16="2P1",EI16="3P1",EO16="4P1",DW16="2P2",EC16="3P2"),AG17=1),"Tirage",2)</f>
        <v>2</v>
      </c>
      <c r="O13" s="11"/>
      <c r="P13" s="11"/>
      <c r="Q13" s="16" t="str">
        <f>DS13</f>
        <v>Nigeria</v>
      </c>
      <c r="R13" s="148">
        <f>IF(W13="","",VLOOKUP(Q13,V12:Y15,2,FALSE))</f>
      </c>
      <c r="S13" s="148">
        <f>IF(X13="","",VLOOKUP(Q13,V12:Y15,3,FALSE))</f>
      </c>
      <c r="T13" s="149">
        <f>IF($Y$4="","",VLOOKUP(Q13,V12:Y15,4,FALSE))</f>
      </c>
      <c r="V13" t="str">
        <f>H12</f>
        <v>Nigeria</v>
      </c>
      <c r="W13">
        <f>IF(F12="","",SUM(J12,J14,D16))</f>
      </c>
      <c r="X13">
        <f>IF(F12="","",SUM(G12-F12+G14-F14+F16-G16))</f>
      </c>
      <c r="Y13">
        <f>IF(F12="","",SUM(G12,G14,F16))</f>
      </c>
      <c r="AH13" t="str">
        <f>IF(DR13=TRUE,V13,DP13)</f>
        <v>Nigeria</v>
      </c>
      <c r="AI13">
        <f t="shared" si="13"/>
      </c>
      <c r="AJ13">
        <f t="shared" si="14"/>
        <v>1</v>
      </c>
      <c r="AK13">
        <f t="shared" si="15"/>
        <v>1</v>
      </c>
      <c r="AL13">
        <f t="shared" si="16"/>
      </c>
      <c r="AN13">
        <f t="shared" si="17"/>
      </c>
      <c r="AO13">
        <f t="shared" si="18"/>
        <v>1</v>
      </c>
      <c r="AP13">
        <f t="shared" si="19"/>
        <v>1</v>
      </c>
      <c r="AQ13">
        <f t="shared" si="20"/>
      </c>
      <c r="AR13" t="str">
        <f>V13</f>
        <v>Nigeria</v>
      </c>
      <c r="AS13">
        <f>IF(W13="","",RANK(W13,W12:W15))</f>
      </c>
      <c r="AT13">
        <f>IF(X13="","",RANK(X13,X12:X15))</f>
      </c>
      <c r="AU13">
        <f>IF(Y13="","",RANK(Y13,Y12:Y15))</f>
      </c>
      <c r="AV13" t="str">
        <f>AR13</f>
        <v>Nigeria</v>
      </c>
      <c r="AW13">
        <f>IF(AS13="","",AX13)</f>
      </c>
      <c r="AX13">
        <f t="shared" si="21"/>
      </c>
      <c r="AY13">
        <f t="shared" si="22"/>
      </c>
      <c r="AZ13">
        <f t="shared" si="23"/>
      </c>
      <c r="BA13">
        <f t="shared" si="24"/>
      </c>
      <c r="BB13">
        <f t="shared" si="25"/>
      </c>
      <c r="BC13">
        <f t="shared" si="26"/>
      </c>
      <c r="BD13">
        <f t="shared" si="27"/>
      </c>
      <c r="BE13">
        <f t="shared" si="28"/>
      </c>
      <c r="BF13">
        <f t="shared" si="29"/>
      </c>
      <c r="BG13">
        <f t="shared" si="30"/>
      </c>
      <c r="BH13">
        <f t="shared" si="31"/>
      </c>
      <c r="BI13">
        <f t="shared" si="32"/>
      </c>
      <c r="BJ13">
        <f t="shared" si="33"/>
      </c>
      <c r="BK13">
        <f t="shared" si="34"/>
      </c>
      <c r="BL13">
        <f t="shared" si="35"/>
      </c>
      <c r="BM13">
        <f t="shared" si="36"/>
      </c>
      <c r="BN13">
        <f t="shared" si="37"/>
      </c>
      <c r="BO13">
        <f t="shared" si="38"/>
      </c>
      <c r="BP13">
        <f t="shared" si="39"/>
      </c>
      <c r="BQ13">
        <f t="shared" si="40"/>
      </c>
      <c r="BR13">
        <f t="shared" si="41"/>
      </c>
      <c r="BS13">
        <f t="shared" si="42"/>
      </c>
      <c r="BT13">
        <f t="shared" si="43"/>
      </c>
      <c r="BU13">
        <f t="shared" si="44"/>
      </c>
      <c r="BV13">
        <f t="shared" si="45"/>
      </c>
      <c r="BW13">
        <f t="shared" si="46"/>
      </c>
      <c r="BX13">
        <f t="shared" si="47"/>
      </c>
      <c r="BY13">
        <f t="shared" si="48"/>
      </c>
      <c r="BZ13">
        <f t="shared" si="49"/>
      </c>
      <c r="CA13">
        <f t="shared" si="50"/>
      </c>
      <c r="CB13">
        <f t="shared" si="51"/>
      </c>
      <c r="CC13">
        <f t="shared" si="52"/>
      </c>
      <c r="CD13">
        <f t="shared" si="53"/>
      </c>
      <c r="CE13">
        <f t="shared" si="54"/>
      </c>
      <c r="CF13">
        <f t="shared" si="55"/>
      </c>
      <c r="CG13">
        <f t="shared" si="56"/>
      </c>
      <c r="CH13">
        <f t="shared" si="57"/>
      </c>
      <c r="CI13">
        <f t="shared" si="58"/>
      </c>
      <c r="CJ13">
        <f t="shared" si="59"/>
      </c>
      <c r="CK13">
        <f t="shared" si="60"/>
      </c>
      <c r="CL13">
        <f t="shared" si="61"/>
      </c>
      <c r="CM13">
        <f t="shared" si="62"/>
      </c>
      <c r="CN13">
        <f t="shared" si="63"/>
      </c>
      <c r="CO13">
        <f t="shared" si="64"/>
      </c>
      <c r="CP13">
        <f t="shared" si="65"/>
      </c>
      <c r="CQ13">
        <f t="shared" si="66"/>
      </c>
      <c r="CR13">
        <f t="shared" si="67"/>
      </c>
      <c r="CS13">
        <f t="shared" si="68"/>
      </c>
      <c r="CT13">
        <f t="shared" si="69"/>
      </c>
      <c r="CU13">
        <f t="shared" si="70"/>
      </c>
      <c r="CV13">
        <f t="shared" si="71"/>
      </c>
      <c r="CW13">
        <f t="shared" si="72"/>
      </c>
      <c r="CX13">
        <f t="shared" si="73"/>
      </c>
      <c r="CY13">
        <f t="shared" si="74"/>
      </c>
      <c r="CZ13">
        <f t="shared" si="75"/>
      </c>
      <c r="DA13">
        <f t="shared" si="76"/>
      </c>
      <c r="DB13">
        <f t="shared" si="77"/>
      </c>
      <c r="DC13">
        <f t="shared" si="78"/>
      </c>
      <c r="DD13">
        <f t="shared" si="79"/>
      </c>
      <c r="DE13">
        <f t="shared" si="80"/>
      </c>
      <c r="DF13">
        <f t="shared" si="81"/>
      </c>
      <c r="DG13">
        <f t="shared" si="82"/>
      </c>
      <c r="DH13">
        <f t="shared" si="83"/>
      </c>
      <c r="DI13">
        <f t="shared" si="84"/>
      </c>
      <c r="DK13" t="str">
        <f>AV13</f>
        <v>Nigeria</v>
      </c>
      <c r="DL13">
        <f>IF(AW13="",0,RANK(AW13,AW12:AW15,1))</f>
        <v>0</v>
      </c>
      <c r="DM13">
        <f>IF(DL13=1,1,"")</f>
      </c>
      <c r="DN13" t="str">
        <f>DK13</f>
        <v>Nigeria</v>
      </c>
      <c r="DO13">
        <v>2</v>
      </c>
      <c r="DP13" t="e">
        <f>VLOOKUP(DO13,DL12:DN15,3,FALSE)</f>
        <v>#N/A</v>
      </c>
      <c r="DQ13" t="e">
        <f>VLOOKUP(DP13,DK12:DL15,2,FALSE)</f>
        <v>#N/A</v>
      </c>
      <c r="DR13" t="b">
        <f>ISERROR(DP13)</f>
        <v>1</v>
      </c>
      <c r="DS13" t="str">
        <f>IF(DM16="2p1",DO17,DX13)</f>
        <v>Nigeria</v>
      </c>
      <c r="DT13">
        <f>IF(DL13=1,DK13,"")</f>
      </c>
      <c r="DW13">
        <f>IF(DL13=2,2,"")</f>
      </c>
      <c r="DX13" t="str">
        <f>IF(DW16="2p2",DY16,EH13)</f>
        <v>Nigeria</v>
      </c>
      <c r="EC13">
        <f>IF(ED13="","",2)</f>
      </c>
      <c r="ED13">
        <f>IF(DL13=2,DK13,"")</f>
      </c>
      <c r="EH13" t="str">
        <f>IF(EC16="3p2",ED16,EN13)</f>
        <v>Nigeria</v>
      </c>
      <c r="EI13">
        <f>IF(EJ13="","",2)</f>
      </c>
      <c r="EJ13">
        <f>IF(DL13=1,DK13,"")</f>
      </c>
      <c r="EN13" t="str">
        <f>IF(EI16="3p1",EK16,EP13)</f>
        <v>Nigeria</v>
      </c>
      <c r="EP13" t="str">
        <f>IF(EO16="4p1",DK13,AH13)</f>
        <v>Nigeria</v>
      </c>
      <c r="EQ13">
        <f>IF(DL13=3,3,"")</f>
      </c>
      <c r="FB13" s="210"/>
      <c r="FC13" s="217" t="s">
        <v>116</v>
      </c>
      <c r="FD13" s="223">
        <f>IF(Q33="","",IF(N29="Tirage",IF(R33="","",R33),Q33))</f>
      </c>
      <c r="FE13" s="239"/>
      <c r="FF13" s="240"/>
      <c r="FG13" s="210"/>
      <c r="FH13" s="210"/>
      <c r="FI13" s="210"/>
      <c r="FJ13" s="210"/>
      <c r="FK13" s="210"/>
      <c r="FL13" s="7"/>
      <c r="FM13" s="212"/>
      <c r="FN13" s="210"/>
      <c r="FO13" s="210"/>
      <c r="FP13" s="245">
        <v>40000</v>
      </c>
      <c r="FQ13" s="219" t="s">
        <v>126</v>
      </c>
      <c r="FR13" s="220" t="s">
        <v>125</v>
      </c>
      <c r="FS13" s="210"/>
      <c r="FT13" s="210"/>
      <c r="FU13" s="210"/>
      <c r="FV13" s="210"/>
      <c r="FW13" s="210"/>
      <c r="FX13" s="210"/>
      <c r="FY13" s="210"/>
    </row>
    <row r="14" spans="1:181" ht="15">
      <c r="A14" s="62" t="s">
        <v>46</v>
      </c>
      <c r="B14" s="66" t="s">
        <v>15</v>
      </c>
      <c r="C14" s="2">
        <v>19</v>
      </c>
      <c r="D14" s="4">
        <f t="shared" si="11"/>
      </c>
      <c r="E14" s="85" t="str">
        <f>VLOOKUP(A14,Tirage!$D$1:$F$40,3,FALSE)</f>
        <v>Grèce</v>
      </c>
      <c r="F14" s="243"/>
      <c r="G14" s="243"/>
      <c r="H14" s="313" t="str">
        <f>VLOOKUP(B14,Tirage!$D$1:$F$40,3,FALSE)</f>
        <v>Nigeria</v>
      </c>
      <c r="I14" s="302"/>
      <c r="J14" s="4">
        <f t="shared" si="12"/>
      </c>
      <c r="K14" s="198">
        <v>39981</v>
      </c>
      <c r="L14" s="204" t="s">
        <v>105</v>
      </c>
      <c r="M14" s="200">
        <v>0.6666666666666666</v>
      </c>
      <c r="N14" s="252">
        <f>IF(AND(OR(EI16="3P1",EO16="4P1",DW16="2P2",EC16="3P2"),AG17=1),"Tirage",3)</f>
        <v>3</v>
      </c>
      <c r="O14" s="11"/>
      <c r="P14" s="11"/>
      <c r="Q14" s="16" t="str">
        <f>DS14</f>
        <v>République de Corée</v>
      </c>
      <c r="R14" s="148">
        <f>IF(W14="","",VLOOKUP(Q14,V12:Y15,2,FALSE))</f>
      </c>
      <c r="S14" s="148">
        <f>IF(X14="","",VLOOKUP(Q14,V12:Y15,3,FALSE))</f>
      </c>
      <c r="T14" s="149">
        <f>IF($Y$4="","",VLOOKUP(Q14,V12:Y15,4,FALSE))</f>
      </c>
      <c r="V14" t="str">
        <f>E13</f>
        <v>République de Corée</v>
      </c>
      <c r="W14">
        <f>IF(F13="","",SUM(D13,J15,J16))</f>
      </c>
      <c r="X14">
        <f>IF(F13="","",SUM(F13-G13+G15-F15+G16-F16))</f>
      </c>
      <c r="Y14">
        <f>IF(F13="","",SUM(F13,G15,G16))</f>
      </c>
      <c r="AH14" t="str">
        <f>IF(DR14=TRUE,V14,DP14)</f>
        <v>République de Corée</v>
      </c>
      <c r="AI14">
        <f t="shared" si="13"/>
      </c>
      <c r="AJ14">
        <f t="shared" si="14"/>
        <v>1</v>
      </c>
      <c r="AK14">
        <f t="shared" si="15"/>
        <v>1</v>
      </c>
      <c r="AL14">
        <f t="shared" si="16"/>
      </c>
      <c r="AN14">
        <f t="shared" si="17"/>
      </c>
      <c r="AO14">
        <f t="shared" si="18"/>
        <v>1</v>
      </c>
      <c r="AP14">
        <f t="shared" si="19"/>
        <v>1</v>
      </c>
      <c r="AQ14">
        <f t="shared" si="20"/>
      </c>
      <c r="AR14" t="str">
        <f>V14</f>
        <v>République de Corée</v>
      </c>
      <c r="AS14">
        <f>IF(W14="","",RANK(W14,W12:W15))</f>
      </c>
      <c r="AT14">
        <f>IF(X14="","",RANK(X14,X12:X15))</f>
      </c>
      <c r="AU14">
        <f>IF(Y14="","",RANK(Y14,Y12:Y15))</f>
      </c>
      <c r="AV14" t="str">
        <f>AR14</f>
        <v>République de Corée</v>
      </c>
      <c r="AW14">
        <f>IF(AS14="","",AX14)</f>
      </c>
      <c r="AX14">
        <f t="shared" si="21"/>
      </c>
      <c r="AY14">
        <f t="shared" si="22"/>
      </c>
      <c r="AZ14">
        <f t="shared" si="23"/>
      </c>
      <c r="BA14">
        <f t="shared" si="24"/>
      </c>
      <c r="BB14">
        <f t="shared" si="25"/>
      </c>
      <c r="BC14">
        <f t="shared" si="26"/>
      </c>
      <c r="BD14">
        <f t="shared" si="27"/>
      </c>
      <c r="BE14">
        <f t="shared" si="28"/>
      </c>
      <c r="BF14">
        <f t="shared" si="29"/>
      </c>
      <c r="BG14">
        <f t="shared" si="30"/>
      </c>
      <c r="BH14">
        <f t="shared" si="31"/>
      </c>
      <c r="BI14">
        <f t="shared" si="32"/>
      </c>
      <c r="BJ14">
        <f t="shared" si="33"/>
      </c>
      <c r="BK14">
        <f t="shared" si="34"/>
      </c>
      <c r="BL14">
        <f t="shared" si="35"/>
      </c>
      <c r="BM14">
        <f t="shared" si="36"/>
      </c>
      <c r="BN14">
        <f t="shared" si="37"/>
      </c>
      <c r="BO14">
        <f t="shared" si="38"/>
      </c>
      <c r="BP14">
        <f t="shared" si="39"/>
      </c>
      <c r="BQ14">
        <f t="shared" si="40"/>
      </c>
      <c r="BR14">
        <f t="shared" si="41"/>
      </c>
      <c r="BS14">
        <f t="shared" si="42"/>
      </c>
      <c r="BT14">
        <f t="shared" si="43"/>
      </c>
      <c r="BU14">
        <f t="shared" si="44"/>
      </c>
      <c r="BV14">
        <f t="shared" si="45"/>
      </c>
      <c r="BW14">
        <f t="shared" si="46"/>
      </c>
      <c r="BX14">
        <f t="shared" si="47"/>
      </c>
      <c r="BY14">
        <f t="shared" si="48"/>
      </c>
      <c r="BZ14">
        <f t="shared" si="49"/>
      </c>
      <c r="CA14">
        <f t="shared" si="50"/>
      </c>
      <c r="CB14">
        <f t="shared" si="51"/>
      </c>
      <c r="CC14">
        <f t="shared" si="52"/>
      </c>
      <c r="CD14">
        <f t="shared" si="53"/>
      </c>
      <c r="CE14">
        <f t="shared" si="54"/>
      </c>
      <c r="CF14">
        <f t="shared" si="55"/>
      </c>
      <c r="CG14">
        <f t="shared" si="56"/>
      </c>
      <c r="CH14">
        <f t="shared" si="57"/>
      </c>
      <c r="CI14">
        <f t="shared" si="58"/>
      </c>
      <c r="CJ14">
        <f t="shared" si="59"/>
      </c>
      <c r="CK14">
        <f t="shared" si="60"/>
      </c>
      <c r="CL14">
        <f t="shared" si="61"/>
      </c>
      <c r="CM14">
        <f t="shared" si="62"/>
      </c>
      <c r="CN14">
        <f t="shared" si="63"/>
      </c>
      <c r="CO14">
        <f t="shared" si="64"/>
      </c>
      <c r="CP14">
        <f t="shared" si="65"/>
      </c>
      <c r="CQ14">
        <f t="shared" si="66"/>
      </c>
      <c r="CR14">
        <f t="shared" si="67"/>
      </c>
      <c r="CS14">
        <f t="shared" si="68"/>
      </c>
      <c r="CT14">
        <f t="shared" si="69"/>
      </c>
      <c r="CU14">
        <f t="shared" si="70"/>
      </c>
      <c r="CV14">
        <f t="shared" si="71"/>
      </c>
      <c r="CW14">
        <f t="shared" si="72"/>
      </c>
      <c r="CX14">
        <f t="shared" si="73"/>
      </c>
      <c r="CY14">
        <f t="shared" si="74"/>
      </c>
      <c r="CZ14">
        <f t="shared" si="75"/>
      </c>
      <c r="DA14">
        <f t="shared" si="76"/>
      </c>
      <c r="DB14">
        <f t="shared" si="77"/>
      </c>
      <c r="DC14">
        <f t="shared" si="78"/>
      </c>
      <c r="DD14">
        <f t="shared" si="79"/>
      </c>
      <c r="DE14">
        <f t="shared" si="80"/>
      </c>
      <c r="DF14">
        <f t="shared" si="81"/>
      </c>
      <c r="DG14">
        <f t="shared" si="82"/>
      </c>
      <c r="DH14">
        <f t="shared" si="83"/>
      </c>
      <c r="DI14">
        <f t="shared" si="84"/>
      </c>
      <c r="DK14" t="str">
        <f>AV14</f>
        <v>République de Corée</v>
      </c>
      <c r="DL14">
        <f>IF(AW14="",0,RANK(AW14,AW12:AW15,1))</f>
        <v>0</v>
      </c>
      <c r="DM14">
        <f>IF(DL14=1,1,"")</f>
      </c>
      <c r="DN14" t="str">
        <f>DK14</f>
        <v>République de Corée</v>
      </c>
      <c r="DO14">
        <v>3</v>
      </c>
      <c r="DP14" t="e">
        <f>VLOOKUP(DO14,DL12:DN15,3,FALSE)</f>
        <v>#N/A</v>
      </c>
      <c r="DQ14" t="e">
        <f>VLOOKUP(DP14,DK12:DL15,2,FALSE)</f>
        <v>#N/A</v>
      </c>
      <c r="DR14" t="b">
        <f>ISERROR(DP14)</f>
        <v>1</v>
      </c>
      <c r="DS14" t="str">
        <f>DX14</f>
        <v>République de Corée</v>
      </c>
      <c r="DT14">
        <f>IF(DL14=1,DK14,"")</f>
      </c>
      <c r="DW14">
        <f>IF(DL14=2,2,"")</f>
      </c>
      <c r="DX14" t="str">
        <f>IF(DW16="2p2",DY17,EH14)</f>
        <v>République de Corée</v>
      </c>
      <c r="EC14">
        <f>IF(ED14="","",3)</f>
      </c>
      <c r="ED14">
        <f>IF(DL14=2,DK14,"")</f>
      </c>
      <c r="EH14" t="str">
        <f>IF(EC16="3p2",EE16,EN14)</f>
        <v>République de Corée</v>
      </c>
      <c r="EI14">
        <f>IF(EJ14="","",3)</f>
      </c>
      <c r="EJ14">
        <f>IF(DL14=1,DK14,"")</f>
      </c>
      <c r="EN14" t="str">
        <f>IF(EI16="3p1",EL16,EP14)</f>
        <v>République de Corée</v>
      </c>
      <c r="EP14" t="str">
        <f>IF(EO16="4p1",DK14,ER14)</f>
        <v>République de Corée</v>
      </c>
      <c r="EQ14">
        <f>IF(DL14=3,3,"")</f>
      </c>
      <c r="ER14" t="str">
        <f>IF(EQ16="2p3",ES16,AH14)</f>
        <v>République de Corée</v>
      </c>
      <c r="FB14" s="210"/>
      <c r="FC14" s="7"/>
      <c r="FD14" s="210"/>
      <c r="FE14" s="7"/>
      <c r="FF14" s="7"/>
      <c r="FG14" s="210"/>
      <c r="FH14" s="210"/>
      <c r="FI14" s="210"/>
      <c r="FJ14" s="210"/>
      <c r="FK14" s="210"/>
      <c r="FL14" s="7"/>
      <c r="FM14" s="212"/>
      <c r="FN14" s="214">
        <v>61</v>
      </c>
      <c r="FO14" s="206"/>
      <c r="FP14" s="225">
        <f>IF((OR(FK9="",FK11="",AND(FK9=FK11,OR(FL9="",FL11="")))),"",(IF((FK9+FL9)&gt;(FK11+FL11),FJ9,FJ11)))</f>
      </c>
      <c r="FQ14" s="287"/>
      <c r="FR14" s="234"/>
      <c r="FS14" s="210"/>
      <c r="FT14" s="210"/>
      <c r="FU14" s="210"/>
      <c r="FV14" s="210"/>
      <c r="FW14" s="210"/>
      <c r="FX14" s="210"/>
      <c r="FY14" s="210"/>
    </row>
    <row r="15" spans="1:181" ht="15">
      <c r="A15" s="62" t="s">
        <v>14</v>
      </c>
      <c r="B15" s="66" t="s">
        <v>44</v>
      </c>
      <c r="C15" s="2">
        <v>20</v>
      </c>
      <c r="D15" s="4">
        <f t="shared" si="11"/>
      </c>
      <c r="E15" s="85" t="str">
        <f>VLOOKUP(A15,Tirage!$D$1:$F$40,3,FALSE)</f>
        <v>Argentine</v>
      </c>
      <c r="F15" s="243"/>
      <c r="G15" s="243"/>
      <c r="H15" s="313" t="str">
        <f>VLOOKUP(B15,Tirage!$D$1:$F$40,3,FALSE)</f>
        <v>République de Corée</v>
      </c>
      <c r="I15" s="302"/>
      <c r="J15" s="4">
        <f t="shared" si="12"/>
      </c>
      <c r="K15" s="198">
        <v>39981</v>
      </c>
      <c r="L15" s="204" t="s">
        <v>100</v>
      </c>
      <c r="M15" s="200">
        <v>0.5625</v>
      </c>
      <c r="N15" s="252">
        <f>IF(AND(OR(EO16="4P1",EC16="3P2"),AG17=1),"Tirage",4)</f>
        <v>4</v>
      </c>
      <c r="O15" s="11"/>
      <c r="P15" s="11"/>
      <c r="Q15" s="17" t="str">
        <f>DS15</f>
        <v>Grèce</v>
      </c>
      <c r="R15" s="150">
        <f>IF(W15="","",VLOOKUP(Q15,V12:Y15,2,FALSE))</f>
      </c>
      <c r="S15" s="150">
        <f>IF(X15="","",VLOOKUP(Q15,V12:Y15,3,FALSE))</f>
      </c>
      <c r="T15" s="151">
        <f>IF($Y$4="","",VLOOKUP(Q15,V12:Y15,4,FALSE))</f>
      </c>
      <c r="V15" t="str">
        <f>H13</f>
        <v>Grèce</v>
      </c>
      <c r="W15">
        <f>IF(F13="","",SUM(J13,D14,D17))</f>
      </c>
      <c r="X15">
        <f>IF(F13="","",SUM(G13-F13+F14-G14+F17-G17))</f>
      </c>
      <c r="Y15">
        <f>IF(F13="","",SUM(G13,F14,F17))</f>
      </c>
      <c r="AH15" t="str">
        <f>IF(DR15=TRUE,V15,DP15)</f>
        <v>Grèce</v>
      </c>
      <c r="AI15">
        <f t="shared" si="13"/>
      </c>
      <c r="AJ15">
        <f t="shared" si="14"/>
        <v>1</v>
      </c>
      <c r="AK15">
        <f t="shared" si="15"/>
        <v>1</v>
      </c>
      <c r="AL15">
        <f t="shared" si="16"/>
      </c>
      <c r="AN15">
        <f t="shared" si="17"/>
      </c>
      <c r="AO15">
        <f t="shared" si="18"/>
        <v>1</v>
      </c>
      <c r="AP15">
        <f t="shared" si="19"/>
        <v>1</v>
      </c>
      <c r="AQ15">
        <f t="shared" si="20"/>
      </c>
      <c r="AR15" t="str">
        <f>V15</f>
        <v>Grèce</v>
      </c>
      <c r="AS15">
        <f>IF(W15="","",RANK(W15,W12:W15))</f>
      </c>
      <c r="AT15">
        <f>IF(X15="","",RANK(X15,X12:X15))</f>
      </c>
      <c r="AU15">
        <f>IF(Y15="","",RANK(Y15,$Y$12:$Y$15))</f>
      </c>
      <c r="AV15" t="str">
        <f>AR15</f>
        <v>Grèce</v>
      </c>
      <c r="AW15">
        <f>IF(AS15="","",AX15)</f>
      </c>
      <c r="AX15">
        <f t="shared" si="21"/>
      </c>
      <c r="AY15">
        <f t="shared" si="22"/>
      </c>
      <c r="AZ15">
        <f t="shared" si="23"/>
      </c>
      <c r="BA15">
        <f t="shared" si="24"/>
      </c>
      <c r="BB15">
        <f t="shared" si="25"/>
      </c>
      <c r="BC15">
        <f t="shared" si="26"/>
      </c>
      <c r="BD15">
        <f t="shared" si="27"/>
      </c>
      <c r="BE15">
        <f t="shared" si="28"/>
      </c>
      <c r="BF15">
        <f t="shared" si="29"/>
      </c>
      <c r="BG15">
        <f t="shared" si="30"/>
      </c>
      <c r="BH15">
        <f t="shared" si="31"/>
      </c>
      <c r="BI15">
        <f t="shared" si="32"/>
      </c>
      <c r="BJ15">
        <f t="shared" si="33"/>
      </c>
      <c r="BK15">
        <f t="shared" si="34"/>
      </c>
      <c r="BL15">
        <f t="shared" si="35"/>
      </c>
      <c r="BM15">
        <f t="shared" si="36"/>
      </c>
      <c r="BN15">
        <f t="shared" si="37"/>
      </c>
      <c r="BO15">
        <f t="shared" si="38"/>
      </c>
      <c r="BP15">
        <f t="shared" si="39"/>
      </c>
      <c r="BQ15">
        <f t="shared" si="40"/>
      </c>
      <c r="BR15">
        <f t="shared" si="41"/>
      </c>
      <c r="BS15">
        <f t="shared" si="42"/>
      </c>
      <c r="BT15">
        <f t="shared" si="43"/>
      </c>
      <c r="BU15">
        <f t="shared" si="44"/>
      </c>
      <c r="BV15">
        <f t="shared" si="45"/>
      </c>
      <c r="BW15">
        <f t="shared" si="46"/>
      </c>
      <c r="BX15">
        <f t="shared" si="47"/>
      </c>
      <c r="BY15">
        <f t="shared" si="48"/>
      </c>
      <c r="BZ15">
        <f t="shared" si="49"/>
      </c>
      <c r="CA15">
        <f t="shared" si="50"/>
      </c>
      <c r="CB15">
        <f t="shared" si="51"/>
      </c>
      <c r="CC15">
        <f t="shared" si="52"/>
      </c>
      <c r="CD15">
        <f t="shared" si="53"/>
      </c>
      <c r="CE15">
        <f t="shared" si="54"/>
      </c>
      <c r="CF15">
        <f t="shared" si="55"/>
      </c>
      <c r="CG15">
        <f t="shared" si="56"/>
      </c>
      <c r="CH15">
        <f t="shared" si="57"/>
      </c>
      <c r="CI15">
        <f t="shared" si="58"/>
      </c>
      <c r="CJ15">
        <f t="shared" si="59"/>
      </c>
      <c r="CK15">
        <f t="shared" si="60"/>
      </c>
      <c r="CL15">
        <f t="shared" si="61"/>
      </c>
      <c r="CM15">
        <f t="shared" si="62"/>
      </c>
      <c r="CN15">
        <f t="shared" si="63"/>
      </c>
      <c r="CO15">
        <f t="shared" si="64"/>
      </c>
      <c r="CP15">
        <f t="shared" si="65"/>
      </c>
      <c r="CQ15">
        <f t="shared" si="66"/>
      </c>
      <c r="CR15">
        <f t="shared" si="67"/>
      </c>
      <c r="CS15">
        <f t="shared" si="68"/>
      </c>
      <c r="CT15">
        <f t="shared" si="69"/>
      </c>
      <c r="CU15">
        <f t="shared" si="70"/>
      </c>
      <c r="CV15">
        <f t="shared" si="71"/>
      </c>
      <c r="CW15">
        <f t="shared" si="72"/>
      </c>
      <c r="CX15">
        <f t="shared" si="73"/>
      </c>
      <c r="CY15">
        <f t="shared" si="74"/>
      </c>
      <c r="CZ15">
        <f t="shared" si="75"/>
      </c>
      <c r="DA15">
        <f t="shared" si="76"/>
      </c>
      <c r="DB15">
        <f t="shared" si="77"/>
      </c>
      <c r="DC15">
        <f t="shared" si="78"/>
      </c>
      <c r="DD15">
        <f t="shared" si="79"/>
      </c>
      <c r="DE15">
        <f t="shared" si="80"/>
      </c>
      <c r="DF15">
        <f t="shared" si="81"/>
      </c>
      <c r="DG15">
        <f t="shared" si="82"/>
      </c>
      <c r="DH15">
        <f t="shared" si="83"/>
      </c>
      <c r="DI15">
        <f t="shared" si="84"/>
      </c>
      <c r="DK15" t="str">
        <f>AV15</f>
        <v>Grèce</v>
      </c>
      <c r="DL15">
        <f>IF(AW15="",0,RANK(AW15,AW12:AW15,1))</f>
        <v>0</v>
      </c>
      <c r="DM15">
        <f>IF(DL15=1,1,"")</f>
      </c>
      <c r="DN15" t="str">
        <f>DK15</f>
        <v>Grèce</v>
      </c>
      <c r="DO15">
        <v>4</v>
      </c>
      <c r="DP15" t="e">
        <f>VLOOKUP(DO15,DL12:DN15,3,FALSE)</f>
        <v>#N/A</v>
      </c>
      <c r="DQ15" t="e">
        <f>VLOOKUP(DP15,DK12:DL15,2,FALSE)</f>
        <v>#N/A</v>
      </c>
      <c r="DR15" t="b">
        <f>ISERROR(DP15)</f>
        <v>1</v>
      </c>
      <c r="DS15" t="str">
        <f>EH15</f>
        <v>Grèce</v>
      </c>
      <c r="DT15">
        <f>IF(DL15=1,DK15,"")</f>
      </c>
      <c r="DW15">
        <f>IF(DL15=2,2,"")</f>
      </c>
      <c r="EC15">
        <f>IF(ED15="","",4)</f>
      </c>
      <c r="ED15">
        <f>IF(DL15=2,DK15,"")</f>
      </c>
      <c r="EH15" t="str">
        <f>IF(EC16="3p2",EF16,EP15)</f>
        <v>Grèce</v>
      </c>
      <c r="EI15">
        <f>IF(EJ15="","",4)</f>
      </c>
      <c r="EJ15">
        <f>IF(DL15=1,DK15,"")</f>
      </c>
      <c r="EP15" t="str">
        <f>IF(EO16="4p1",DK15,ER15)</f>
        <v>Grèce</v>
      </c>
      <c r="EQ15">
        <f>IF(DL15=3,3,"")</f>
      </c>
      <c r="ER15" t="str">
        <f>IF(EQ16="2p3",ES17,AH15)</f>
        <v>Grèce</v>
      </c>
      <c r="FB15" s="210"/>
      <c r="FC15" s="7"/>
      <c r="FD15" s="245">
        <v>39992</v>
      </c>
      <c r="FE15" s="219" t="s">
        <v>126</v>
      </c>
      <c r="FF15" s="220" t="s">
        <v>125</v>
      </c>
      <c r="FG15" s="210"/>
      <c r="FH15" s="210"/>
      <c r="FI15" s="210"/>
      <c r="FJ15" s="210"/>
      <c r="FK15" s="210"/>
      <c r="FL15" s="7"/>
      <c r="FM15" s="212"/>
      <c r="FN15" s="210"/>
      <c r="FO15" s="208"/>
      <c r="FP15" s="226">
        <f>IF((OR(FK19="",FK20="",AND(FK19=FK20,OR(FL19="",FL20="")))),"",(IF((FK19+FL19)&gt;(FK20+FL20),FJ19,FJ20)))</f>
      </c>
      <c r="FQ15" s="239"/>
      <c r="FR15" s="235"/>
      <c r="FS15" s="211"/>
      <c r="FT15" s="210"/>
      <c r="FU15" s="210"/>
      <c r="FV15" s="210"/>
      <c r="FW15" s="210"/>
      <c r="FX15" s="210"/>
      <c r="FY15" s="210"/>
    </row>
    <row r="16" spans="1:181" ht="15">
      <c r="A16" s="62" t="s">
        <v>15</v>
      </c>
      <c r="B16" s="66" t="s">
        <v>44</v>
      </c>
      <c r="C16" s="2">
        <v>35</v>
      </c>
      <c r="D16" s="4">
        <f t="shared" si="11"/>
      </c>
      <c r="E16" s="85" t="str">
        <f>VLOOKUP(A16,Tirage!$D$1:$F$40,3,FALSE)</f>
        <v>Nigeria</v>
      </c>
      <c r="F16" s="243"/>
      <c r="G16" s="243"/>
      <c r="H16" s="313" t="str">
        <f>VLOOKUP(B16,Tirage!$D$1:$F$40,3,FALSE)</f>
        <v>République de Corée</v>
      </c>
      <c r="I16" s="302"/>
      <c r="J16" s="4">
        <f t="shared" si="12"/>
      </c>
      <c r="K16" s="198">
        <v>39986</v>
      </c>
      <c r="L16" s="199" t="s">
        <v>107</v>
      </c>
      <c r="M16" s="200">
        <v>0.8541666666666666</v>
      </c>
      <c r="N16" s="253" t="s">
        <v>111</v>
      </c>
      <c r="O16" s="69"/>
      <c r="P16" s="38"/>
      <c r="Q16" s="291">
        <f>IF(N12="Tirage","Résultat tirage:",AH16)</f>
      </c>
      <c r="R16" s="296"/>
      <c r="S16" s="296"/>
      <c r="T16" s="296"/>
      <c r="AH16">
        <f>IF(G17="","",AH12)</f>
      </c>
      <c r="AI16">
        <f t="shared" si="13"/>
      </c>
      <c r="AJ16">
        <f t="shared" si="14"/>
        <v>1</v>
      </c>
      <c r="AK16">
        <f t="shared" si="15"/>
        <v>1</v>
      </c>
      <c r="AL16">
        <f t="shared" si="16"/>
      </c>
      <c r="AN16">
        <f t="shared" si="17"/>
      </c>
      <c r="AO16">
        <f t="shared" si="18"/>
        <v>1</v>
      </c>
      <c r="AP16">
        <f t="shared" si="19"/>
        <v>1</v>
      </c>
      <c r="AQ16">
        <f t="shared" si="20"/>
      </c>
      <c r="DM16">
        <f>IF(SUM(DM12:DM15)=2,"2P1","")</f>
      </c>
      <c r="DO16">
        <f>IF(DT12="",DP16,DT12)</f>
      </c>
      <c r="DP16">
        <f>IF(DT13="",DQ16,DT13)</f>
      </c>
      <c r="DQ16">
        <f>IF(DT14="",DR16,DT14)</f>
      </c>
      <c r="DR16">
        <f>IF(DT15="","",DT15)</f>
      </c>
      <c r="DW16">
        <f>IF(SUM(DW12:DW15)=4,"2P2","")</f>
      </c>
      <c r="DY16">
        <f>IF(ED12="",DZ16,ED12)</f>
      </c>
      <c r="DZ16">
        <f>IF(ED13="",EA16,ED13)</f>
      </c>
      <c r="EA16">
        <f>IF(ED14="",EB16,ED14)</f>
      </c>
      <c r="EB16">
        <f>IF(ED15="","",ED15)</f>
      </c>
      <c r="EC16">
        <f>IF(SUM(DW12:DW15)=6,"3P2","")</f>
      </c>
      <c r="ED16">
        <f>IF(EC12=1,ED12,EE16)</f>
      </c>
      <c r="EE16">
        <f>IF(EC13=2,ED13,EF16)</f>
      </c>
      <c r="EF16">
        <f>IF(EC14=3,ED14,EG16)</f>
      </c>
      <c r="EG16">
        <f>IF(EC15=4,ED15,"")</f>
      </c>
      <c r="EI16">
        <f>IF(SUM(DM12:DM15)=3,"3P1","")</f>
      </c>
      <c r="EJ16">
        <f>IF(EI12=1,EJ12,EK16)</f>
      </c>
      <c r="EK16">
        <f>IF(EI13=2,EJ13,EL16)</f>
      </c>
      <c r="EL16">
        <f>IF(EI14=3,EJ14,EM16)</f>
      </c>
      <c r="EM16">
        <f>IF(EI15=4,EJ15,"")</f>
      </c>
      <c r="EO16">
        <f>IF(SUM(DM12:DM15)=4,"4P1","")</f>
      </c>
      <c r="EQ16">
        <f>IF(SUM(EQ12:EQ15)=6,"2P3","")</f>
      </c>
      <c r="FB16" s="210">
        <v>53</v>
      </c>
      <c r="FC16" s="1" t="s">
        <v>117</v>
      </c>
      <c r="FD16" s="222">
        <f>IF(Q40="","",IF(N36="Tirage",IF(R40="","",R40),Q40))</f>
      </c>
      <c r="FE16" s="237"/>
      <c r="FF16" s="238"/>
      <c r="FG16" s="210"/>
      <c r="FH16" s="210"/>
      <c r="FI16" s="210"/>
      <c r="FJ16" s="210"/>
      <c r="FK16" s="210"/>
      <c r="FL16" s="7"/>
      <c r="FM16" s="212"/>
      <c r="FN16" s="210"/>
      <c r="FO16" s="210"/>
      <c r="FP16" s="210"/>
      <c r="FQ16" s="210"/>
      <c r="FR16" s="7"/>
      <c r="FS16" s="212"/>
      <c r="FT16" s="210"/>
      <c r="FU16" s="210"/>
      <c r="FV16" s="210"/>
      <c r="FW16" s="210"/>
      <c r="FX16" s="210"/>
      <c r="FY16" s="210"/>
    </row>
    <row r="17" spans="1:181" ht="15">
      <c r="A17" s="63" t="s">
        <v>46</v>
      </c>
      <c r="B17" s="63" t="s">
        <v>14</v>
      </c>
      <c r="C17" s="5">
        <v>36</v>
      </c>
      <c r="D17" s="6">
        <f t="shared" si="11"/>
      </c>
      <c r="E17" s="86" t="str">
        <f>VLOOKUP(A17,Tirage!$D$1:$F$40,3,FALSE)</f>
        <v>Grèce</v>
      </c>
      <c r="F17" s="244"/>
      <c r="G17" s="244"/>
      <c r="H17" s="314" t="str">
        <f>VLOOKUP(B17,Tirage!$D$1:$F$40,3,FALSE)</f>
        <v>Argentine</v>
      </c>
      <c r="I17" s="300"/>
      <c r="J17" s="6">
        <f t="shared" si="12"/>
      </c>
      <c r="K17" s="201">
        <v>39986</v>
      </c>
      <c r="L17" s="202" t="s">
        <v>103</v>
      </c>
      <c r="M17" s="203">
        <v>0.8541666666666666</v>
      </c>
      <c r="N17" s="254" t="s">
        <v>112</v>
      </c>
      <c r="O17" s="109"/>
      <c r="P17" s="39"/>
      <c r="Q17" s="292">
        <f>IF(N13="Tirage","Résultat tirage:",AH17)</f>
      </c>
      <c r="R17" s="307"/>
      <c r="S17" s="307"/>
      <c r="T17" s="307"/>
      <c r="AG17">
        <f>IF(J17="","",1)</f>
      </c>
      <c r="AH17">
        <f>IF(G17="","",AH13)</f>
      </c>
      <c r="AI17">
        <f t="shared" si="13"/>
      </c>
      <c r="AJ17">
        <f t="shared" si="14"/>
        <v>1</v>
      </c>
      <c r="AK17">
        <f t="shared" si="15"/>
        <v>1</v>
      </c>
      <c r="AL17">
        <f t="shared" si="16"/>
      </c>
      <c r="AN17">
        <f t="shared" si="17"/>
      </c>
      <c r="AO17">
        <f t="shared" si="18"/>
        <v>1</v>
      </c>
      <c r="AP17">
        <f t="shared" si="19"/>
        <v>1</v>
      </c>
      <c r="AQ17">
        <f t="shared" si="20"/>
      </c>
      <c r="DO17">
        <f>IF(DT15="",DP17,DT15)</f>
      </c>
      <c r="DP17">
        <f>IF(DT14="",DQ17,DT14)</f>
      </c>
      <c r="DQ17">
        <f>IF(DT13="",DR17,DT13)</f>
      </c>
      <c r="DR17">
        <f>IF(DT12="","",DT12)</f>
      </c>
      <c r="DY17">
        <f>IF(ED15="",DZ17,ED15)</f>
      </c>
      <c r="DZ17">
        <f>IF(ED14="",EA17,ED14)</f>
      </c>
      <c r="EA17">
        <f>IF(ED13="",EB17,ED13)</f>
      </c>
      <c r="EB17">
        <f>IF(ED12="","",ED12)</f>
      </c>
      <c r="FB17" s="210"/>
      <c r="FC17" s="217" t="s">
        <v>120</v>
      </c>
      <c r="FD17" s="223">
        <f>IF(Q49="","",IF(N45="Tirage",IF(R49="","",R49),Q49))</f>
      </c>
      <c r="FE17" s="239"/>
      <c r="FF17" s="240"/>
      <c r="FG17" s="211"/>
      <c r="FH17" s="210"/>
      <c r="FI17" s="210"/>
      <c r="FJ17" s="245">
        <v>39996</v>
      </c>
      <c r="FK17" s="219" t="s">
        <v>126</v>
      </c>
      <c r="FL17" s="220" t="s">
        <v>125</v>
      </c>
      <c r="FM17" s="212"/>
      <c r="FN17" s="210"/>
      <c r="FO17" s="210"/>
      <c r="FP17" s="210"/>
      <c r="FQ17" s="210"/>
      <c r="FR17" s="7"/>
      <c r="FS17" s="212"/>
      <c r="FT17" s="210"/>
      <c r="FU17" s="210"/>
      <c r="FV17" s="210"/>
      <c r="FW17" s="210"/>
      <c r="FX17" s="210"/>
      <c r="FY17" s="210"/>
    </row>
    <row r="18" spans="1:181" ht="15" hidden="1">
      <c r="A18" s="62"/>
      <c r="B18" s="62"/>
      <c r="C18" s="72"/>
      <c r="D18" s="54"/>
      <c r="E18" s="99"/>
      <c r="F18" s="100"/>
      <c r="G18" s="100"/>
      <c r="H18" s="100"/>
      <c r="I18" s="99"/>
      <c r="J18" s="54"/>
      <c r="K18" s="188"/>
      <c r="L18" s="73"/>
      <c r="M18" s="14"/>
      <c r="N18" s="67"/>
      <c r="O18" s="77"/>
      <c r="P18" s="77"/>
      <c r="Q18" s="75"/>
      <c r="R18" s="76"/>
      <c r="S18" s="76"/>
      <c r="T18" s="76"/>
      <c r="AX18">
        <v>111</v>
      </c>
      <c r="AY18">
        <v>112</v>
      </c>
      <c r="AZ18">
        <v>113</v>
      </c>
      <c r="BA18">
        <v>114</v>
      </c>
      <c r="BB18">
        <v>121</v>
      </c>
      <c r="BC18">
        <v>122</v>
      </c>
      <c r="BD18">
        <v>123</v>
      </c>
      <c r="BE18">
        <v>124</v>
      </c>
      <c r="BF18">
        <v>131</v>
      </c>
      <c r="BG18">
        <v>132</v>
      </c>
      <c r="BH18">
        <v>133</v>
      </c>
      <c r="BI18">
        <v>134</v>
      </c>
      <c r="BJ18">
        <v>141</v>
      </c>
      <c r="BK18">
        <v>142</v>
      </c>
      <c r="BL18">
        <v>143</v>
      </c>
      <c r="BM18">
        <v>144</v>
      </c>
      <c r="BN18">
        <v>211</v>
      </c>
      <c r="BO18">
        <v>212</v>
      </c>
      <c r="BP18">
        <v>213</v>
      </c>
      <c r="BQ18">
        <v>214</v>
      </c>
      <c r="BR18">
        <v>221</v>
      </c>
      <c r="BS18">
        <v>222</v>
      </c>
      <c r="BT18">
        <v>223</v>
      </c>
      <c r="BU18">
        <v>224</v>
      </c>
      <c r="BV18">
        <v>231</v>
      </c>
      <c r="BW18">
        <v>232</v>
      </c>
      <c r="BX18">
        <v>233</v>
      </c>
      <c r="BY18">
        <v>234</v>
      </c>
      <c r="BZ18">
        <v>241</v>
      </c>
      <c r="CA18">
        <v>242</v>
      </c>
      <c r="CB18">
        <v>243</v>
      </c>
      <c r="CC18">
        <v>244</v>
      </c>
      <c r="CD18">
        <v>311</v>
      </c>
      <c r="CE18">
        <v>312</v>
      </c>
      <c r="CF18">
        <v>313</v>
      </c>
      <c r="CG18">
        <v>314</v>
      </c>
      <c r="CH18">
        <v>321</v>
      </c>
      <c r="CI18">
        <v>322</v>
      </c>
      <c r="CJ18">
        <v>323</v>
      </c>
      <c r="CK18">
        <v>324</v>
      </c>
      <c r="CL18">
        <v>331</v>
      </c>
      <c r="CM18">
        <v>332</v>
      </c>
      <c r="CN18">
        <v>333</v>
      </c>
      <c r="CO18">
        <v>334</v>
      </c>
      <c r="CP18">
        <v>341</v>
      </c>
      <c r="CQ18">
        <v>342</v>
      </c>
      <c r="CR18">
        <v>343</v>
      </c>
      <c r="CS18">
        <v>344</v>
      </c>
      <c r="CT18">
        <v>411</v>
      </c>
      <c r="CU18">
        <v>412</v>
      </c>
      <c r="CV18">
        <v>413</v>
      </c>
      <c r="CW18">
        <v>414</v>
      </c>
      <c r="CX18">
        <v>421</v>
      </c>
      <c r="CY18">
        <v>422</v>
      </c>
      <c r="CZ18">
        <v>423</v>
      </c>
      <c r="DA18">
        <v>424</v>
      </c>
      <c r="DB18">
        <v>431</v>
      </c>
      <c r="DC18">
        <v>432</v>
      </c>
      <c r="DD18">
        <v>433</v>
      </c>
      <c r="DE18">
        <v>434</v>
      </c>
      <c r="DF18">
        <v>441</v>
      </c>
      <c r="DG18">
        <v>442</v>
      </c>
      <c r="DH18">
        <v>443</v>
      </c>
      <c r="DI18">
        <v>444</v>
      </c>
      <c r="DM18" t="s">
        <v>86</v>
      </c>
      <c r="DW18" t="s">
        <v>87</v>
      </c>
      <c r="EC18" t="s">
        <v>88</v>
      </c>
      <c r="EI18" t="s">
        <v>89</v>
      </c>
      <c r="EO18" t="s">
        <v>90</v>
      </c>
      <c r="EQ18" t="s">
        <v>91</v>
      </c>
      <c r="FB18" s="210"/>
      <c r="FC18" s="7" t="s">
        <v>120</v>
      </c>
      <c r="FD18" s="210"/>
      <c r="FE18" s="7"/>
      <c r="FF18" s="7"/>
      <c r="FG18" s="210"/>
      <c r="FH18" s="216"/>
      <c r="FL18" s="209"/>
      <c r="FM18" s="212"/>
      <c r="FN18" s="210"/>
      <c r="FO18" s="210"/>
      <c r="FP18" s="210"/>
      <c r="FQ18" s="210"/>
      <c r="FR18" s="7"/>
      <c r="FS18" s="212"/>
      <c r="FT18" s="210"/>
      <c r="FU18" s="210"/>
      <c r="FV18" s="210"/>
      <c r="FW18" s="210"/>
      <c r="FX18" s="210"/>
      <c r="FY18" s="210"/>
    </row>
    <row r="19" spans="1:181" ht="15">
      <c r="A19" s="104"/>
      <c r="B19" s="57"/>
      <c r="C19" s="2"/>
      <c r="D19" s="118" t="s">
        <v>83</v>
      </c>
      <c r="E19" s="329" t="s">
        <v>3</v>
      </c>
      <c r="F19" s="330"/>
      <c r="G19" s="330"/>
      <c r="H19" s="330"/>
      <c r="I19" s="331"/>
      <c r="J19" s="118" t="s">
        <v>83</v>
      </c>
      <c r="K19" s="190" t="s">
        <v>11</v>
      </c>
      <c r="L19" s="119" t="s">
        <v>12</v>
      </c>
      <c r="M19" s="120" t="s">
        <v>13</v>
      </c>
      <c r="N19" s="342" t="s">
        <v>133</v>
      </c>
      <c r="O19" s="343"/>
      <c r="P19" s="343"/>
      <c r="Q19" s="344"/>
      <c r="R19" s="121" t="s">
        <v>83</v>
      </c>
      <c r="S19" s="280" t="s">
        <v>84</v>
      </c>
      <c r="T19" s="121" t="s">
        <v>85</v>
      </c>
      <c r="W19" t="s">
        <v>83</v>
      </c>
      <c r="X19" t="s">
        <v>84</v>
      </c>
      <c r="Y19" t="s">
        <v>85</v>
      </c>
      <c r="AI19" t="s">
        <v>92</v>
      </c>
      <c r="AJ19" t="s">
        <v>93</v>
      </c>
      <c r="AK19" t="s">
        <v>94</v>
      </c>
      <c r="AL19" t="s">
        <v>95</v>
      </c>
      <c r="AN19" t="s">
        <v>92</v>
      </c>
      <c r="AO19" t="s">
        <v>93</v>
      </c>
      <c r="AP19" t="s">
        <v>94</v>
      </c>
      <c r="AQ19" t="s">
        <v>95</v>
      </c>
      <c r="AS19" t="s">
        <v>96</v>
      </c>
      <c r="AT19" t="s">
        <v>97</v>
      </c>
      <c r="AU19" t="s">
        <v>98</v>
      </c>
      <c r="FB19" s="210"/>
      <c r="FC19" s="7"/>
      <c r="FD19" s="210"/>
      <c r="FE19" s="7"/>
      <c r="FF19" s="7"/>
      <c r="FG19" s="210"/>
      <c r="FH19" s="214">
        <v>57</v>
      </c>
      <c r="FI19" s="206"/>
      <c r="FJ19" s="231">
        <f>IF((OR(FE16="",FE17="",AND(FE16=FE17,OR(FF16="",FF17="")))),"",(IF((FE16+FF16)&gt;(FE17+FF17),FD16,FD17)))</f>
      </c>
      <c r="FK19" s="287"/>
      <c r="FL19" s="234"/>
      <c r="FM19" s="215"/>
      <c r="FN19" s="210"/>
      <c r="FO19" s="210"/>
      <c r="FP19" s="210"/>
      <c r="FQ19" s="210"/>
      <c r="FR19" s="7"/>
      <c r="FS19" s="212"/>
      <c r="FT19" s="210"/>
      <c r="FU19" s="210"/>
      <c r="FV19" s="210"/>
      <c r="FW19" s="210"/>
      <c r="FX19" s="210"/>
      <c r="FY19" s="210"/>
    </row>
    <row r="20" spans="1:181" ht="15.75">
      <c r="A20" s="62" t="s">
        <v>16</v>
      </c>
      <c r="B20" s="66" t="s">
        <v>17</v>
      </c>
      <c r="C20" s="2">
        <v>5</v>
      </c>
      <c r="D20" s="3">
        <f aca="true" t="shared" si="85" ref="D20:D25">IF(F20="","",AI20)</f>
      </c>
      <c r="E20" s="87" t="str">
        <f>VLOOKUP(A20,Tirage!$D$1:$F$40,3,FALSE)</f>
        <v>Angleterre</v>
      </c>
      <c r="F20" s="243"/>
      <c r="G20" s="243"/>
      <c r="H20" s="315" t="str">
        <f>VLOOKUP(B20,Tirage!$D$1:$F$40,3,FALSE)</f>
        <v>U.S.A</v>
      </c>
      <c r="I20" s="302"/>
      <c r="J20" s="3">
        <f aca="true" t="shared" si="86" ref="J20:J25">IF(F20="","",AO20)</f>
      </c>
      <c r="K20" s="198">
        <v>39976</v>
      </c>
      <c r="L20" s="199" t="s">
        <v>104</v>
      </c>
      <c r="M20" s="200">
        <v>0.8541666666666666</v>
      </c>
      <c r="N20" s="255">
        <f>IF(AND(OR(DM24="2P1",EI24="3P1",EO24="4P1"),AG25=1),"Tirage",1)</f>
        <v>1</v>
      </c>
      <c r="O20" s="11"/>
      <c r="P20" s="11"/>
      <c r="Q20" s="18" t="str">
        <f>DS20</f>
        <v>Angleterre</v>
      </c>
      <c r="R20" s="152">
        <f>IF(W20="","",VLOOKUP(Q20,V20:Y23,2,FALSE))</f>
      </c>
      <c r="S20" s="152">
        <f>IF(X20="","",VLOOKUP(Q20,V20:Y23,3,FALSE))</f>
      </c>
      <c r="T20" s="153">
        <f>IF($Y$4="","",VLOOKUP(Q20,V20:Y23,4,FALSE))</f>
      </c>
      <c r="V20" t="str">
        <f>E20</f>
        <v>Angleterre</v>
      </c>
      <c r="W20">
        <f>IF(F20="","",SUM(D20,D23,J24))</f>
      </c>
      <c r="X20">
        <f>IF(F20="","",SUM((F20-G20)+(F23-G23)+(G24-F24)))</f>
      </c>
      <c r="Y20">
        <f>IF(F20="","",SUM(F20,F23,G24))</f>
      </c>
      <c r="AH20" t="str">
        <f>IF(DR20=TRUE,V20,DP20)</f>
        <v>Angleterre</v>
      </c>
      <c r="AI20">
        <f aca="true" t="shared" si="87" ref="AI20:AI25">IF(G20="","",AJ20)</f>
      </c>
      <c r="AJ20">
        <f aca="true" t="shared" si="88" ref="AJ20:AJ25">IF(F20&lt;G20,0,AK20)</f>
        <v>1</v>
      </c>
      <c r="AK20">
        <f aca="true" t="shared" si="89" ref="AK20:AK25">IF(F20=G20,1,AL20)</f>
        <v>1</v>
      </c>
      <c r="AL20">
        <f aca="true" t="shared" si="90" ref="AL20:AL25">IF(F20&gt;G20,3,"")</f>
      </c>
      <c r="AN20">
        <f aca="true" t="shared" si="91" ref="AN20:AN25">IF(G20="","",AO20)</f>
      </c>
      <c r="AO20">
        <f aca="true" t="shared" si="92" ref="AO20:AO25">IF(G20&lt;F20,0,AP20)</f>
        <v>1</v>
      </c>
      <c r="AP20">
        <f aca="true" t="shared" si="93" ref="AP20:AP25">IF(G20=F20,1,AQ20)</f>
        <v>1</v>
      </c>
      <c r="AQ20">
        <f aca="true" t="shared" si="94" ref="AQ20:AQ25">IF(G20&gt;F20,3,"")</f>
      </c>
      <c r="AR20" t="str">
        <f>V20</f>
        <v>Angleterre</v>
      </c>
      <c r="AS20">
        <f>IF(W20="","",RANK(W20,W20:W23))</f>
      </c>
      <c r="AT20">
        <f>IF(X20="","",RANK(X20,X20:X23))</f>
      </c>
      <c r="AU20">
        <f>IF(Y20="","",RANK(Y20,Y20:Y23))</f>
      </c>
      <c r="AV20" t="str">
        <f>AR20</f>
        <v>Angleterre</v>
      </c>
      <c r="AW20">
        <f>IF(AS20="","",AX20)</f>
      </c>
      <c r="AX20">
        <f t="shared" si="21"/>
      </c>
      <c r="AY20">
        <f t="shared" si="22"/>
      </c>
      <c r="AZ20">
        <f t="shared" si="23"/>
      </c>
      <c r="BA20">
        <f t="shared" si="24"/>
      </c>
      <c r="BB20">
        <f t="shared" si="25"/>
      </c>
      <c r="BC20">
        <f t="shared" si="26"/>
      </c>
      <c r="BD20">
        <f t="shared" si="27"/>
      </c>
      <c r="BE20">
        <f t="shared" si="28"/>
      </c>
      <c r="BF20">
        <f t="shared" si="29"/>
      </c>
      <c r="BG20">
        <f t="shared" si="30"/>
      </c>
      <c r="BH20">
        <f t="shared" si="31"/>
      </c>
      <c r="BI20">
        <f t="shared" si="32"/>
      </c>
      <c r="BJ20">
        <f t="shared" si="33"/>
      </c>
      <c r="BK20">
        <f t="shared" si="34"/>
      </c>
      <c r="BL20">
        <f t="shared" si="35"/>
      </c>
      <c r="BM20">
        <f t="shared" si="36"/>
      </c>
      <c r="BN20">
        <f t="shared" si="37"/>
      </c>
      <c r="BO20">
        <f t="shared" si="38"/>
      </c>
      <c r="BP20">
        <f t="shared" si="39"/>
      </c>
      <c r="BQ20">
        <f t="shared" si="40"/>
      </c>
      <c r="BR20">
        <f t="shared" si="41"/>
      </c>
      <c r="BS20">
        <f t="shared" si="42"/>
      </c>
      <c r="BT20">
        <f t="shared" si="43"/>
      </c>
      <c r="BU20">
        <f t="shared" si="44"/>
      </c>
      <c r="BV20">
        <f t="shared" si="45"/>
      </c>
      <c r="BW20">
        <f t="shared" si="46"/>
      </c>
      <c r="BX20">
        <f t="shared" si="47"/>
      </c>
      <c r="BY20">
        <f t="shared" si="48"/>
      </c>
      <c r="BZ20">
        <f t="shared" si="49"/>
      </c>
      <c r="CA20">
        <f t="shared" si="50"/>
      </c>
      <c r="CB20">
        <f t="shared" si="51"/>
      </c>
      <c r="CC20">
        <f t="shared" si="52"/>
      </c>
      <c r="CD20">
        <f t="shared" si="53"/>
      </c>
      <c r="CE20">
        <f t="shared" si="54"/>
      </c>
      <c r="CF20">
        <f t="shared" si="55"/>
      </c>
      <c r="CG20">
        <f t="shared" si="56"/>
      </c>
      <c r="CH20">
        <f t="shared" si="57"/>
      </c>
      <c r="CI20">
        <f t="shared" si="58"/>
      </c>
      <c r="CJ20">
        <f t="shared" si="59"/>
      </c>
      <c r="CK20">
        <f t="shared" si="60"/>
      </c>
      <c r="CL20">
        <f t="shared" si="61"/>
      </c>
      <c r="CM20">
        <f t="shared" si="62"/>
      </c>
      <c r="CN20">
        <f t="shared" si="63"/>
      </c>
      <c r="CO20">
        <f t="shared" si="64"/>
      </c>
      <c r="CP20">
        <f t="shared" si="65"/>
      </c>
      <c r="CQ20">
        <f t="shared" si="66"/>
      </c>
      <c r="CR20">
        <f t="shared" si="67"/>
      </c>
      <c r="CS20">
        <f t="shared" si="68"/>
      </c>
      <c r="CT20">
        <f t="shared" si="69"/>
      </c>
      <c r="CU20">
        <f t="shared" si="70"/>
      </c>
      <c r="CV20">
        <f t="shared" si="71"/>
      </c>
      <c r="CW20">
        <f t="shared" si="72"/>
      </c>
      <c r="CX20">
        <f t="shared" si="73"/>
      </c>
      <c r="CY20">
        <f t="shared" si="74"/>
      </c>
      <c r="CZ20">
        <f t="shared" si="75"/>
      </c>
      <c r="DA20">
        <f t="shared" si="76"/>
      </c>
      <c r="DB20">
        <f t="shared" si="77"/>
      </c>
      <c r="DC20">
        <f t="shared" si="78"/>
      </c>
      <c r="DD20">
        <f t="shared" si="79"/>
      </c>
      <c r="DE20">
        <f t="shared" si="80"/>
      </c>
      <c r="DF20">
        <f t="shared" si="81"/>
      </c>
      <c r="DG20">
        <f t="shared" si="82"/>
      </c>
      <c r="DH20">
        <f t="shared" si="83"/>
      </c>
      <c r="DI20">
        <f t="shared" si="84"/>
      </c>
      <c r="DK20" t="str">
        <f>AV20</f>
        <v>Angleterre</v>
      </c>
      <c r="DL20">
        <f>IF(AW20="",0,RANK(AW20,AW20:AW23,1))</f>
        <v>0</v>
      </c>
      <c r="DM20">
        <f aca="true" t="shared" si="95" ref="DM20:DM63">IF(DL20=1,1,"")</f>
      </c>
      <c r="DN20" t="str">
        <f>DK20</f>
        <v>Angleterre</v>
      </c>
      <c r="DO20">
        <v>1</v>
      </c>
      <c r="DP20" t="e">
        <f>VLOOKUP(DO20,DL20:DN23,3,FALSE)</f>
        <v>#N/A</v>
      </c>
      <c r="DQ20" t="e">
        <f>VLOOKUP(DP20,DK20:DL23,2,FALSE)</f>
        <v>#N/A</v>
      </c>
      <c r="DR20" t="b">
        <f>ISERROR(DP20)</f>
        <v>1</v>
      </c>
      <c r="DS20" t="str">
        <f>IF(DM24="2p1",DO24,EN20)</f>
        <v>Angleterre</v>
      </c>
      <c r="DT20">
        <f>IF(DL20=1,DK20,"")</f>
      </c>
      <c r="DW20">
        <f>IF(DL20=2,2,"")</f>
      </c>
      <c r="EC20">
        <f>IF(ED20="","",1)</f>
      </c>
      <c r="ED20">
        <f>IF(DL20=2,DK20,"")</f>
      </c>
      <c r="EI20">
        <f>IF(EJ20="","",1)</f>
      </c>
      <c r="EJ20">
        <f>IF(DL20=1,DK20,"")</f>
      </c>
      <c r="EN20" t="str">
        <f>IF(EI24="3p1",EJ24,EP20)</f>
        <v>Angleterre</v>
      </c>
      <c r="EP20" t="str">
        <f>IF(EO24="4p1",DK20,AH20)</f>
        <v>Angleterre</v>
      </c>
      <c r="EQ20">
        <f>IF(DL20=3,3,"")</f>
      </c>
      <c r="FB20" s="210"/>
      <c r="FC20" s="7"/>
      <c r="FD20" s="245">
        <v>39992</v>
      </c>
      <c r="FE20" s="219" t="s">
        <v>126</v>
      </c>
      <c r="FF20" s="220" t="s">
        <v>125</v>
      </c>
      <c r="FG20" s="212"/>
      <c r="FH20" s="210"/>
      <c r="FI20" s="208"/>
      <c r="FJ20" s="233">
        <f>IF((OR(FE21="",FE22="",AND(FE21=FE22,OR(FF21="",FF22="")))),"",(IF((FE21+FF21)&gt;(FE22+FF22),FD21,FD22)))</f>
      </c>
      <c r="FK20" s="239"/>
      <c r="FL20" s="235"/>
      <c r="FM20" s="210"/>
      <c r="FN20" s="210"/>
      <c r="FO20" s="210"/>
      <c r="FP20" s="210"/>
      <c r="FQ20" s="210"/>
      <c r="FR20" s="7"/>
      <c r="FS20" s="212"/>
      <c r="FT20" s="210"/>
      <c r="FU20" s="210"/>
      <c r="FV20" s="230" t="s">
        <v>140</v>
      </c>
      <c r="FW20" s="210"/>
      <c r="FX20" s="210"/>
      <c r="FY20" s="210"/>
    </row>
    <row r="21" spans="1:181" ht="15">
      <c r="A21" s="62" t="s">
        <v>50</v>
      </c>
      <c r="B21" s="66" t="s">
        <v>52</v>
      </c>
      <c r="C21" s="2">
        <v>6</v>
      </c>
      <c r="D21" s="4">
        <f t="shared" si="85"/>
      </c>
      <c r="E21" s="87" t="str">
        <f>VLOOKUP(A21,Tirage!$D$1:$F$40,3,FALSE)</f>
        <v>Algérie</v>
      </c>
      <c r="F21" s="243"/>
      <c r="G21" s="243"/>
      <c r="H21" s="315" t="str">
        <f>VLOOKUP(B21,Tirage!$D$1:$F$40,3,FALSE)</f>
        <v>Slovénie</v>
      </c>
      <c r="I21" s="302"/>
      <c r="J21" s="4">
        <f t="shared" si="86"/>
      </c>
      <c r="K21" s="198">
        <v>39977</v>
      </c>
      <c r="L21" s="199" t="s">
        <v>103</v>
      </c>
      <c r="M21" s="200">
        <v>0.5625</v>
      </c>
      <c r="N21" s="256">
        <f>IF(AND(OR(DM24="2P1",EI24="3P1",EO24="4P1",DW24="2P2",EC24="3P2"),AG25=1),"Tirage",2)</f>
        <v>2</v>
      </c>
      <c r="O21" s="11"/>
      <c r="P21" s="11"/>
      <c r="Q21" s="19" t="str">
        <f>DS21</f>
        <v>U.S.A</v>
      </c>
      <c r="R21" s="154">
        <f>IF(W21="","",VLOOKUP(Q21,V20:Y23,2,FALSE))</f>
      </c>
      <c r="S21" s="154">
        <f>IF(X21="","",VLOOKUP(Q21,V20:Y23,3,FALSE))</f>
      </c>
      <c r="T21" s="155">
        <f>IF($Y$4="","",VLOOKUP(Q21,V20:Y23,4,FALSE))</f>
      </c>
      <c r="V21" t="str">
        <f>H20</f>
        <v>U.S.A</v>
      </c>
      <c r="W21">
        <f>IF(F20="","",SUM(J20,J22,D25))</f>
      </c>
      <c r="X21">
        <f>IF(F20="","",SUM(G20-F20+G22-F22+F25-G25))</f>
      </c>
      <c r="Y21">
        <f>IF(F20="","",SUM(G20,G22,F25))</f>
      </c>
      <c r="AH21" t="str">
        <f>IF(DR21=TRUE,V21,DP21)</f>
        <v>U.S.A</v>
      </c>
      <c r="AI21">
        <f t="shared" si="87"/>
      </c>
      <c r="AJ21">
        <f t="shared" si="88"/>
        <v>1</v>
      </c>
      <c r="AK21">
        <f t="shared" si="89"/>
        <v>1</v>
      </c>
      <c r="AL21">
        <f t="shared" si="90"/>
      </c>
      <c r="AN21">
        <f t="shared" si="91"/>
      </c>
      <c r="AO21">
        <f t="shared" si="92"/>
        <v>1</v>
      </c>
      <c r="AP21">
        <f t="shared" si="93"/>
        <v>1</v>
      </c>
      <c r="AQ21">
        <f t="shared" si="94"/>
      </c>
      <c r="AR21" t="str">
        <f>V21</f>
        <v>U.S.A</v>
      </c>
      <c r="AS21">
        <f>IF(W21="","",RANK(W21,W20:W23))</f>
      </c>
      <c r="AT21">
        <f>IF(X21="","",RANK(X21,X20:X23))</f>
      </c>
      <c r="AU21">
        <f>IF(Y21="","",RANK(Y21,Y20:Y23))</f>
      </c>
      <c r="AV21" t="str">
        <f>AR21</f>
        <v>U.S.A</v>
      </c>
      <c r="AW21">
        <f>IF(AS21="","",AX21)</f>
      </c>
      <c r="AX21">
        <f t="shared" si="21"/>
      </c>
      <c r="AY21">
        <f t="shared" si="22"/>
      </c>
      <c r="AZ21">
        <f t="shared" si="23"/>
      </c>
      <c r="BA21">
        <f t="shared" si="24"/>
      </c>
      <c r="BB21">
        <f t="shared" si="25"/>
      </c>
      <c r="BC21">
        <f t="shared" si="26"/>
      </c>
      <c r="BD21">
        <f t="shared" si="27"/>
      </c>
      <c r="BE21">
        <f t="shared" si="28"/>
      </c>
      <c r="BF21">
        <f t="shared" si="29"/>
      </c>
      <c r="BG21">
        <f t="shared" si="30"/>
      </c>
      <c r="BH21">
        <f t="shared" si="31"/>
      </c>
      <c r="BI21">
        <f t="shared" si="32"/>
      </c>
      <c r="BJ21">
        <f t="shared" si="33"/>
      </c>
      <c r="BK21">
        <f t="shared" si="34"/>
      </c>
      <c r="BL21">
        <f t="shared" si="35"/>
      </c>
      <c r="BM21">
        <f t="shared" si="36"/>
      </c>
      <c r="BN21">
        <f t="shared" si="37"/>
      </c>
      <c r="BO21">
        <f t="shared" si="38"/>
      </c>
      <c r="BP21">
        <f t="shared" si="39"/>
      </c>
      <c r="BQ21">
        <f t="shared" si="40"/>
      </c>
      <c r="BR21">
        <f t="shared" si="41"/>
      </c>
      <c r="BS21">
        <f t="shared" si="42"/>
      </c>
      <c r="BT21">
        <f t="shared" si="43"/>
      </c>
      <c r="BU21">
        <f t="shared" si="44"/>
      </c>
      <c r="BV21">
        <f t="shared" si="45"/>
      </c>
      <c r="BW21">
        <f t="shared" si="46"/>
      </c>
      <c r="BX21">
        <f t="shared" si="47"/>
      </c>
      <c r="BY21">
        <f t="shared" si="48"/>
      </c>
      <c r="BZ21">
        <f t="shared" si="49"/>
      </c>
      <c r="CA21">
        <f t="shared" si="50"/>
      </c>
      <c r="CB21">
        <f t="shared" si="51"/>
      </c>
      <c r="CC21">
        <f t="shared" si="52"/>
      </c>
      <c r="CD21">
        <f t="shared" si="53"/>
      </c>
      <c r="CE21">
        <f t="shared" si="54"/>
      </c>
      <c r="CF21">
        <f t="shared" si="55"/>
      </c>
      <c r="CG21">
        <f t="shared" si="56"/>
      </c>
      <c r="CH21">
        <f t="shared" si="57"/>
      </c>
      <c r="CI21">
        <f t="shared" si="58"/>
      </c>
      <c r="CJ21">
        <f t="shared" si="59"/>
      </c>
      <c r="CK21">
        <f t="shared" si="60"/>
      </c>
      <c r="CL21">
        <f t="shared" si="61"/>
      </c>
      <c r="CM21">
        <f t="shared" si="62"/>
      </c>
      <c r="CN21">
        <f t="shared" si="63"/>
      </c>
      <c r="CO21">
        <f t="shared" si="64"/>
      </c>
      <c r="CP21">
        <f t="shared" si="65"/>
      </c>
      <c r="CQ21">
        <f t="shared" si="66"/>
      </c>
      <c r="CR21">
        <f t="shared" si="67"/>
      </c>
      <c r="CS21">
        <f t="shared" si="68"/>
      </c>
      <c r="CT21">
        <f t="shared" si="69"/>
      </c>
      <c r="CU21">
        <f t="shared" si="70"/>
      </c>
      <c r="CV21">
        <f t="shared" si="71"/>
      </c>
      <c r="CW21">
        <f t="shared" si="72"/>
      </c>
      <c r="CX21">
        <f t="shared" si="73"/>
      </c>
      <c r="CY21">
        <f t="shared" si="74"/>
      </c>
      <c r="CZ21">
        <f t="shared" si="75"/>
      </c>
      <c r="DA21">
        <f t="shared" si="76"/>
      </c>
      <c r="DB21">
        <f t="shared" si="77"/>
      </c>
      <c r="DC21">
        <f t="shared" si="78"/>
      </c>
      <c r="DD21">
        <f t="shared" si="79"/>
      </c>
      <c r="DE21">
        <f t="shared" si="80"/>
      </c>
      <c r="DF21">
        <f t="shared" si="81"/>
      </c>
      <c r="DG21">
        <f t="shared" si="82"/>
      </c>
      <c r="DH21">
        <f t="shared" si="83"/>
      </c>
      <c r="DI21">
        <f t="shared" si="84"/>
      </c>
      <c r="DK21" t="str">
        <f>AV21</f>
        <v>U.S.A</v>
      </c>
      <c r="DL21">
        <f>IF(AW21="",0,RANK(AW21,AW20:AW23,1))</f>
        <v>0</v>
      </c>
      <c r="DM21">
        <f t="shared" si="95"/>
      </c>
      <c r="DN21" t="str">
        <f>DK21</f>
        <v>U.S.A</v>
      </c>
      <c r="DO21">
        <v>2</v>
      </c>
      <c r="DP21" t="e">
        <f>VLOOKUP(DO21,DL20:DN23,3,FALSE)</f>
        <v>#N/A</v>
      </c>
      <c r="DQ21" t="e">
        <f>VLOOKUP(DP21,DK20:DL23,2,FALSE)</f>
        <v>#N/A</v>
      </c>
      <c r="DR21" t="b">
        <f>ISERROR(DP21)</f>
        <v>1</v>
      </c>
      <c r="DS21" t="str">
        <f>IF(DM24="2p1",DO25,DX21)</f>
        <v>U.S.A</v>
      </c>
      <c r="DT21">
        <f>IF(DL21=1,DK21,"")</f>
      </c>
      <c r="DW21">
        <f>IF(DL21=2,2,"")</f>
      </c>
      <c r="DX21" t="str">
        <f>IF(DW24="2p2",DY24,EH21)</f>
        <v>U.S.A</v>
      </c>
      <c r="EC21">
        <f>IF(ED21="","",2)</f>
      </c>
      <c r="ED21">
        <f>IF(DL21=2,DK21,"")</f>
      </c>
      <c r="EH21" t="str">
        <f>IF(EC24="3p2",ED24,EN21)</f>
        <v>U.S.A</v>
      </c>
      <c r="EI21">
        <f>IF(EJ21="","",2)</f>
      </c>
      <c r="EJ21">
        <f>IF(DL21=1,DK21,"")</f>
      </c>
      <c r="EN21" t="str">
        <f>IF(EI24="3p1",EK24,EP21)</f>
        <v>U.S.A</v>
      </c>
      <c r="EP21" t="str">
        <f>IF(EO24="4p1",DK21,AH21)</f>
        <v>U.S.A</v>
      </c>
      <c r="EQ21">
        <f>IF(DL21=3,3,"")</f>
      </c>
      <c r="FB21" s="210">
        <v>54</v>
      </c>
      <c r="FC21" s="1" t="s">
        <v>121</v>
      </c>
      <c r="FD21" s="222">
        <f>IF(Q56="","",IF(N52="Tirage",IF(R56="","",R56),Q56))</f>
      </c>
      <c r="FE21" s="237"/>
      <c r="FF21" s="238"/>
      <c r="FG21" s="214"/>
      <c r="FH21" s="210"/>
      <c r="FI21" s="210"/>
      <c r="FJ21" s="210"/>
      <c r="FK21" s="210"/>
      <c r="FL21" s="7"/>
      <c r="FM21" s="210"/>
      <c r="FN21" s="210"/>
      <c r="FO21" s="210"/>
      <c r="FP21" s="210"/>
      <c r="FQ21" s="210"/>
      <c r="FR21" s="7"/>
      <c r="FS21" s="212"/>
      <c r="FT21" s="210"/>
      <c r="FU21" s="210"/>
      <c r="FV21" s="245">
        <v>40005</v>
      </c>
      <c r="FW21" s="219" t="s">
        <v>126</v>
      </c>
      <c r="FX21" s="220" t="s">
        <v>125</v>
      </c>
      <c r="FY21" s="210"/>
    </row>
    <row r="22" spans="1:181" ht="15">
      <c r="A22" s="62" t="s">
        <v>52</v>
      </c>
      <c r="B22" s="66" t="s">
        <v>17</v>
      </c>
      <c r="C22" s="2">
        <v>21</v>
      </c>
      <c r="D22" s="4">
        <f t="shared" si="85"/>
      </c>
      <c r="E22" s="87" t="str">
        <f>VLOOKUP(A22,Tirage!$D$1:$F$40,3,FALSE)</f>
        <v>Slovénie</v>
      </c>
      <c r="F22" s="243"/>
      <c r="G22" s="243"/>
      <c r="H22" s="315" t="str">
        <f>VLOOKUP(B22,Tirage!$D$1:$F$40,3,FALSE)</f>
        <v>U.S.A</v>
      </c>
      <c r="I22" s="302"/>
      <c r="J22" s="4">
        <f t="shared" si="86"/>
      </c>
      <c r="K22" s="198">
        <v>39982</v>
      </c>
      <c r="L22" s="204" t="s">
        <v>100</v>
      </c>
      <c r="M22" s="200">
        <v>0.6666666666666666</v>
      </c>
      <c r="N22" s="256">
        <f>IF(AND(OR(EI24="3P1",EO24="4P1",DW24="2P2",EC24="3P2"),AG25=1),"Tirage",3)</f>
        <v>3</v>
      </c>
      <c r="O22" s="11"/>
      <c r="P22" s="11"/>
      <c r="Q22" s="19" t="str">
        <f>DS22</f>
        <v>Algérie</v>
      </c>
      <c r="R22" s="154">
        <f>IF(W22="","",VLOOKUP(Q22,V20:Y23,2,FALSE))</f>
      </c>
      <c r="S22" s="154">
        <f>IF(X22="","",VLOOKUP(Q22,V20:Y23,3,FALSE))</f>
      </c>
      <c r="T22" s="155">
        <f>IF($Y$4="","",VLOOKUP(Q22,V20:Y23,4,FALSE))</f>
      </c>
      <c r="V22" t="str">
        <f>E21</f>
        <v>Algérie</v>
      </c>
      <c r="W22">
        <f>IF(F21="","",SUM(D21,J23,J25))</f>
      </c>
      <c r="X22">
        <f>IF(F21="","",SUM(F21-G21+G23-F23+G25-F25))</f>
      </c>
      <c r="Y22">
        <f>IF(F21="","",SUM(F21,G23,G25))</f>
      </c>
      <c r="AH22" t="str">
        <f>IF(DR22=TRUE,V22,DP22)</f>
        <v>Algérie</v>
      </c>
      <c r="AI22">
        <f t="shared" si="87"/>
      </c>
      <c r="AJ22">
        <f t="shared" si="88"/>
        <v>1</v>
      </c>
      <c r="AK22">
        <f t="shared" si="89"/>
        <v>1</v>
      </c>
      <c r="AL22">
        <f t="shared" si="90"/>
      </c>
      <c r="AN22">
        <f t="shared" si="91"/>
      </c>
      <c r="AO22">
        <f t="shared" si="92"/>
        <v>1</v>
      </c>
      <c r="AP22">
        <f t="shared" si="93"/>
        <v>1</v>
      </c>
      <c r="AQ22">
        <f t="shared" si="94"/>
      </c>
      <c r="AR22" t="str">
        <f>V22</f>
        <v>Algérie</v>
      </c>
      <c r="AS22">
        <f>IF(W22="","",RANK(W22,W20:W23))</f>
      </c>
      <c r="AT22">
        <f>IF(X22="","",RANK(X22,X20:X23))</f>
      </c>
      <c r="AU22">
        <f>IF(Y22="","",RANK(Y22,Y20:Y23))</f>
      </c>
      <c r="AV22" t="str">
        <f>AR22</f>
        <v>Algérie</v>
      </c>
      <c r="AW22">
        <f>IF(AS22="","",AX22)</f>
      </c>
      <c r="AX22">
        <f t="shared" si="21"/>
      </c>
      <c r="AY22">
        <f t="shared" si="22"/>
      </c>
      <c r="AZ22">
        <f t="shared" si="23"/>
      </c>
      <c r="BA22">
        <f t="shared" si="24"/>
      </c>
      <c r="BB22">
        <f t="shared" si="25"/>
      </c>
      <c r="BC22">
        <f t="shared" si="26"/>
      </c>
      <c r="BD22">
        <f t="shared" si="27"/>
      </c>
      <c r="BE22">
        <f t="shared" si="28"/>
      </c>
      <c r="BF22">
        <f t="shared" si="29"/>
      </c>
      <c r="BG22">
        <f t="shared" si="30"/>
      </c>
      <c r="BH22">
        <f t="shared" si="31"/>
      </c>
      <c r="BI22">
        <f t="shared" si="32"/>
      </c>
      <c r="BJ22">
        <f t="shared" si="33"/>
      </c>
      <c r="BK22">
        <f t="shared" si="34"/>
      </c>
      <c r="BL22">
        <f t="shared" si="35"/>
      </c>
      <c r="BM22">
        <f t="shared" si="36"/>
      </c>
      <c r="BN22">
        <f t="shared" si="37"/>
      </c>
      <c r="BO22">
        <f t="shared" si="38"/>
      </c>
      <c r="BP22">
        <f t="shared" si="39"/>
      </c>
      <c r="BQ22">
        <f t="shared" si="40"/>
      </c>
      <c r="BR22">
        <f t="shared" si="41"/>
      </c>
      <c r="BS22">
        <f t="shared" si="42"/>
      </c>
      <c r="BT22">
        <f t="shared" si="43"/>
      </c>
      <c r="BU22">
        <f t="shared" si="44"/>
      </c>
      <c r="BV22">
        <f t="shared" si="45"/>
      </c>
      <c r="BW22">
        <f t="shared" si="46"/>
      </c>
      <c r="BX22">
        <f t="shared" si="47"/>
      </c>
      <c r="BY22">
        <f t="shared" si="48"/>
      </c>
      <c r="BZ22">
        <f t="shared" si="49"/>
      </c>
      <c r="CA22">
        <f t="shared" si="50"/>
      </c>
      <c r="CB22">
        <f t="shared" si="51"/>
      </c>
      <c r="CC22">
        <f t="shared" si="52"/>
      </c>
      <c r="CD22">
        <f t="shared" si="53"/>
      </c>
      <c r="CE22">
        <f t="shared" si="54"/>
      </c>
      <c r="CF22">
        <f t="shared" si="55"/>
      </c>
      <c r="CG22">
        <f t="shared" si="56"/>
      </c>
      <c r="CH22">
        <f t="shared" si="57"/>
      </c>
      <c r="CI22">
        <f t="shared" si="58"/>
      </c>
      <c r="CJ22">
        <f t="shared" si="59"/>
      </c>
      <c r="CK22">
        <f t="shared" si="60"/>
      </c>
      <c r="CL22">
        <f t="shared" si="61"/>
      </c>
      <c r="CM22">
        <f t="shared" si="62"/>
      </c>
      <c r="CN22">
        <f t="shared" si="63"/>
      </c>
      <c r="CO22">
        <f t="shared" si="64"/>
      </c>
      <c r="CP22">
        <f t="shared" si="65"/>
      </c>
      <c r="CQ22">
        <f t="shared" si="66"/>
      </c>
      <c r="CR22">
        <f t="shared" si="67"/>
      </c>
      <c r="CS22">
        <f t="shared" si="68"/>
      </c>
      <c r="CT22">
        <f t="shared" si="69"/>
      </c>
      <c r="CU22">
        <f t="shared" si="70"/>
      </c>
      <c r="CV22">
        <f t="shared" si="71"/>
      </c>
      <c r="CW22">
        <f t="shared" si="72"/>
      </c>
      <c r="CX22">
        <f t="shared" si="73"/>
      </c>
      <c r="CY22">
        <f t="shared" si="74"/>
      </c>
      <c r="CZ22">
        <f t="shared" si="75"/>
      </c>
      <c r="DA22">
        <f t="shared" si="76"/>
      </c>
      <c r="DB22">
        <f t="shared" si="77"/>
      </c>
      <c r="DC22">
        <f t="shared" si="78"/>
      </c>
      <c r="DD22">
        <f t="shared" si="79"/>
      </c>
      <c r="DE22">
        <f t="shared" si="80"/>
      </c>
      <c r="DF22">
        <f t="shared" si="81"/>
      </c>
      <c r="DG22">
        <f t="shared" si="82"/>
      </c>
      <c r="DH22">
        <f t="shared" si="83"/>
      </c>
      <c r="DI22">
        <f t="shared" si="84"/>
      </c>
      <c r="DK22" t="str">
        <f>AV22</f>
        <v>Algérie</v>
      </c>
      <c r="DL22">
        <f>IF(AW22="",0,RANK(AW22,AW20:AW23,1))</f>
        <v>0</v>
      </c>
      <c r="DM22">
        <f t="shared" si="95"/>
      </c>
      <c r="DN22" t="str">
        <f>DK22</f>
        <v>Algérie</v>
      </c>
      <c r="DO22">
        <v>3</v>
      </c>
      <c r="DP22" t="e">
        <f>VLOOKUP(DO22,DL20:DN23,3,FALSE)</f>
        <v>#N/A</v>
      </c>
      <c r="DQ22" t="e">
        <f>VLOOKUP(DP22,DK20:DL23,2,FALSE)</f>
        <v>#N/A</v>
      </c>
      <c r="DR22" t="b">
        <f>ISERROR(DP22)</f>
        <v>1</v>
      </c>
      <c r="DS22" t="str">
        <f>DX22</f>
        <v>Algérie</v>
      </c>
      <c r="DT22">
        <f>IF(DL22=1,DK22,"")</f>
      </c>
      <c r="DW22">
        <f>IF(DL22=2,2,"")</f>
      </c>
      <c r="DX22" t="str">
        <f>IF(DW24="2p2",DY25,EH22)</f>
        <v>Algérie</v>
      </c>
      <c r="EC22">
        <f>IF(ED22="","",3)</f>
      </c>
      <c r="ED22">
        <f>IF(DL22=2,DK22,"")</f>
      </c>
      <c r="EH22" t="str">
        <f>IF(EC24="3p2",EE24,EN22)</f>
        <v>Algérie</v>
      </c>
      <c r="EI22">
        <f>IF(EJ22="","",3)</f>
      </c>
      <c r="EJ22">
        <f>IF(DL22=1,DK22,"")</f>
      </c>
      <c r="EN22" t="str">
        <f>IF(EI24="3p1",EL24,EP22)</f>
        <v>Algérie</v>
      </c>
      <c r="EP22" t="str">
        <f>IF(EO24="4p1",DK22,ER22)</f>
        <v>Algérie</v>
      </c>
      <c r="EQ22">
        <f>IF(DL22=3,3,"")</f>
      </c>
      <c r="ER22" t="str">
        <f>IF(EQ24="2p3",ES24,AH22)</f>
        <v>Algérie</v>
      </c>
      <c r="FB22" s="210"/>
      <c r="FC22" s="217" t="s">
        <v>124</v>
      </c>
      <c r="FD22" s="223">
        <f>IF(Q65="","",IF(N61="Tirage",IF(R65="","",R65),Q65))</f>
      </c>
      <c r="FE22" s="239"/>
      <c r="FF22" s="240"/>
      <c r="FG22" s="210"/>
      <c r="FH22" s="210"/>
      <c r="FI22" s="210"/>
      <c r="FJ22" s="210"/>
      <c r="FK22" s="210"/>
      <c r="FL22" s="7"/>
      <c r="FM22" s="210"/>
      <c r="FN22" s="210"/>
      <c r="FO22" s="210"/>
      <c r="FP22" s="210"/>
      <c r="FQ22" s="210"/>
      <c r="FR22" s="7"/>
      <c r="FS22" s="212"/>
      <c r="FT22" s="210"/>
      <c r="FU22" s="364">
        <f>IF((OR(FQ14="",FQ15="",AND(FQ14=FQ15,OR(FR14="",FR15="")))),"",(IF((FQ14+FR14)&gt;(FQ15+FR15),FP14,FP15)))</f>
      </c>
      <c r="FV22" s="365"/>
      <c r="FW22" s="368"/>
      <c r="FX22" s="374"/>
      <c r="FY22" s="210"/>
    </row>
    <row r="23" spans="1:181" ht="15">
      <c r="A23" s="62" t="s">
        <v>16</v>
      </c>
      <c r="B23" s="66" t="s">
        <v>50</v>
      </c>
      <c r="C23" s="2">
        <v>22</v>
      </c>
      <c r="D23" s="4">
        <f t="shared" si="85"/>
      </c>
      <c r="E23" s="87" t="str">
        <f>VLOOKUP(A23,Tirage!$D$1:$F$40,3,FALSE)</f>
        <v>Angleterre</v>
      </c>
      <c r="F23" s="243"/>
      <c r="G23" s="243"/>
      <c r="H23" s="315" t="str">
        <f>VLOOKUP(B23,Tirage!$D$1:$F$40,3,FALSE)</f>
        <v>Algérie</v>
      </c>
      <c r="I23" s="302"/>
      <c r="J23" s="4">
        <f t="shared" si="86"/>
      </c>
      <c r="K23" s="198">
        <v>39982</v>
      </c>
      <c r="L23" s="199" t="s">
        <v>101</v>
      </c>
      <c r="M23" s="200">
        <v>0.8541666666666666</v>
      </c>
      <c r="N23" s="256">
        <f>IF(AND(OR(EO24="4P1",EC24="3P2"),AG25=1),"Tirage",4)</f>
        <v>4</v>
      </c>
      <c r="O23" s="11"/>
      <c r="P23" s="11"/>
      <c r="Q23" s="20" t="str">
        <f>DS23</f>
        <v>Slovénie</v>
      </c>
      <c r="R23" s="156">
        <f>IF(W23="","",VLOOKUP(Q23,V20:Y23,2,FALSE))</f>
      </c>
      <c r="S23" s="156">
        <f>IF(X23="","",VLOOKUP(Q23,V20:Y23,3,FALSE))</f>
      </c>
      <c r="T23" s="157">
        <f>IF($Y$4="","",VLOOKUP(Q23,V20:Y23,4,FALSE))</f>
      </c>
      <c r="V23" t="str">
        <f>H21</f>
        <v>Slovénie</v>
      </c>
      <c r="W23">
        <f>IF(F21="","",SUM(J21,D22,D24))</f>
      </c>
      <c r="X23">
        <f>IF(F21="","",SUM(G21-F21+F22-G22+F24-G24))</f>
      </c>
      <c r="Y23">
        <f>IF(F21="","",SUM(G21,F22,F24))</f>
      </c>
      <c r="AH23" t="str">
        <f>IF(DR23=TRUE,V23,DP23)</f>
        <v>Slovénie</v>
      </c>
      <c r="AI23">
        <f t="shared" si="87"/>
      </c>
      <c r="AJ23">
        <f t="shared" si="88"/>
        <v>1</v>
      </c>
      <c r="AK23">
        <f t="shared" si="89"/>
        <v>1</v>
      </c>
      <c r="AL23">
        <f t="shared" si="90"/>
      </c>
      <c r="AN23">
        <f t="shared" si="91"/>
      </c>
      <c r="AO23">
        <f t="shared" si="92"/>
        <v>1</v>
      </c>
      <c r="AP23">
        <f t="shared" si="93"/>
        <v>1</v>
      </c>
      <c r="AQ23">
        <f t="shared" si="94"/>
      </c>
      <c r="AR23" t="str">
        <f>V23</f>
        <v>Slovénie</v>
      </c>
      <c r="AS23">
        <f>IF(W23="","",RANK(W23,W20:W23))</f>
      </c>
      <c r="AT23">
        <f>IF(X23="","",RANK(X23,X20:X23))</f>
      </c>
      <c r="AU23">
        <f>IF(Y23="","",RANK(Y23,$Y$20:$Y$23))</f>
      </c>
      <c r="AV23" t="str">
        <f>AR23</f>
        <v>Slovénie</v>
      </c>
      <c r="AW23">
        <f>IF(AS23="","",AX23)</f>
      </c>
      <c r="AX23">
        <f t="shared" si="21"/>
      </c>
      <c r="AY23">
        <f t="shared" si="22"/>
      </c>
      <c r="AZ23">
        <f t="shared" si="23"/>
      </c>
      <c r="BA23">
        <f t="shared" si="24"/>
      </c>
      <c r="BB23">
        <f t="shared" si="25"/>
      </c>
      <c r="BC23">
        <f t="shared" si="26"/>
      </c>
      <c r="BD23">
        <f t="shared" si="27"/>
      </c>
      <c r="BE23">
        <f t="shared" si="28"/>
      </c>
      <c r="BF23">
        <f t="shared" si="29"/>
      </c>
      <c r="BG23">
        <f t="shared" si="30"/>
      </c>
      <c r="BH23">
        <f t="shared" si="31"/>
      </c>
      <c r="BI23">
        <f t="shared" si="32"/>
      </c>
      <c r="BJ23">
        <f t="shared" si="33"/>
      </c>
      <c r="BK23">
        <f t="shared" si="34"/>
      </c>
      <c r="BL23">
        <f t="shared" si="35"/>
      </c>
      <c r="BM23">
        <f t="shared" si="36"/>
      </c>
      <c r="BN23">
        <f t="shared" si="37"/>
      </c>
      <c r="BO23">
        <f t="shared" si="38"/>
      </c>
      <c r="BP23">
        <f t="shared" si="39"/>
      </c>
      <c r="BQ23">
        <f t="shared" si="40"/>
      </c>
      <c r="BR23">
        <f t="shared" si="41"/>
      </c>
      <c r="BS23">
        <f t="shared" si="42"/>
      </c>
      <c r="BT23">
        <f t="shared" si="43"/>
      </c>
      <c r="BU23">
        <f t="shared" si="44"/>
      </c>
      <c r="BV23">
        <f t="shared" si="45"/>
      </c>
      <c r="BW23">
        <f t="shared" si="46"/>
      </c>
      <c r="BX23">
        <f t="shared" si="47"/>
      </c>
      <c r="BY23">
        <f t="shared" si="48"/>
      </c>
      <c r="BZ23">
        <f t="shared" si="49"/>
      </c>
      <c r="CA23">
        <f t="shared" si="50"/>
      </c>
      <c r="CB23">
        <f t="shared" si="51"/>
      </c>
      <c r="CC23">
        <f t="shared" si="52"/>
      </c>
      <c r="CD23">
        <f t="shared" si="53"/>
      </c>
      <c r="CE23">
        <f t="shared" si="54"/>
      </c>
      <c r="CF23">
        <f t="shared" si="55"/>
      </c>
      <c r="CG23">
        <f t="shared" si="56"/>
      </c>
      <c r="CH23">
        <f t="shared" si="57"/>
      </c>
      <c r="CI23">
        <f t="shared" si="58"/>
      </c>
      <c r="CJ23">
        <f t="shared" si="59"/>
      </c>
      <c r="CK23">
        <f t="shared" si="60"/>
      </c>
      <c r="CL23">
        <f t="shared" si="61"/>
      </c>
      <c r="CM23">
        <f t="shared" si="62"/>
      </c>
      <c r="CN23">
        <f t="shared" si="63"/>
      </c>
      <c r="CO23">
        <f t="shared" si="64"/>
      </c>
      <c r="CP23">
        <f t="shared" si="65"/>
      </c>
      <c r="CQ23">
        <f t="shared" si="66"/>
      </c>
      <c r="CR23">
        <f t="shared" si="67"/>
      </c>
      <c r="CS23">
        <f t="shared" si="68"/>
      </c>
      <c r="CT23">
        <f t="shared" si="69"/>
      </c>
      <c r="CU23">
        <f t="shared" si="70"/>
      </c>
      <c r="CV23">
        <f t="shared" si="71"/>
      </c>
      <c r="CW23">
        <f t="shared" si="72"/>
      </c>
      <c r="CX23">
        <f t="shared" si="73"/>
      </c>
      <c r="CY23">
        <f t="shared" si="74"/>
      </c>
      <c r="CZ23">
        <f t="shared" si="75"/>
      </c>
      <c r="DA23">
        <f t="shared" si="76"/>
      </c>
      <c r="DB23">
        <f t="shared" si="77"/>
      </c>
      <c r="DC23">
        <f t="shared" si="78"/>
      </c>
      <c r="DD23">
        <f t="shared" si="79"/>
      </c>
      <c r="DE23">
        <f t="shared" si="80"/>
      </c>
      <c r="DF23">
        <f t="shared" si="81"/>
      </c>
      <c r="DG23">
        <f t="shared" si="82"/>
      </c>
      <c r="DH23">
        <f t="shared" si="83"/>
      </c>
      <c r="DI23">
        <f t="shared" si="84"/>
      </c>
      <c r="DK23" t="str">
        <f>AV23</f>
        <v>Slovénie</v>
      </c>
      <c r="DL23">
        <f>IF(AW23="",0,RANK(AW23,AW20:AW23,1))</f>
        <v>0</v>
      </c>
      <c r="DM23">
        <f t="shared" si="95"/>
      </c>
      <c r="DN23" t="str">
        <f>DK23</f>
        <v>Slovénie</v>
      </c>
      <c r="DO23">
        <v>4</v>
      </c>
      <c r="DP23" t="e">
        <f>VLOOKUP(DO23,DL20:DN23,3,FALSE)</f>
        <v>#N/A</v>
      </c>
      <c r="DQ23" t="e">
        <f>VLOOKUP(DP23,DK20:DL23,2,FALSE)</f>
        <v>#N/A</v>
      </c>
      <c r="DR23" t="b">
        <f>ISERROR(DP23)</f>
        <v>1</v>
      </c>
      <c r="DS23" t="str">
        <f>EH23</f>
        <v>Slovénie</v>
      </c>
      <c r="DT23">
        <f>IF(DL23=1,DK23,"")</f>
      </c>
      <c r="DW23">
        <f>IF(DL23=2,2,"")</f>
      </c>
      <c r="EC23">
        <f>IF(ED23="","",4)</f>
      </c>
      <c r="ED23">
        <f>IF(DL23=2,DK23,"")</f>
      </c>
      <c r="EH23" t="str">
        <f>IF(EC24="3p2",EF24,EP23)</f>
        <v>Slovénie</v>
      </c>
      <c r="EI23">
        <f>IF(EJ23="","",4)</f>
      </c>
      <c r="EJ23">
        <f>IF(DL23=1,DK23,"")</f>
      </c>
      <c r="EP23" t="str">
        <f>IF(EO24="4p1",DK23,ER23)</f>
        <v>Slovénie</v>
      </c>
      <c r="EQ23">
        <f>IF(DL23=3,3,"")</f>
      </c>
      <c r="ER23" t="str">
        <f>IF(EQ24="2p3",ES25,AH23)</f>
        <v>Slovénie</v>
      </c>
      <c r="FB23" s="210"/>
      <c r="FC23" s="7"/>
      <c r="FD23" s="210"/>
      <c r="FE23" s="7"/>
      <c r="FF23" s="7"/>
      <c r="FG23" s="210"/>
      <c r="FH23" s="210"/>
      <c r="FI23" s="210"/>
      <c r="FJ23" s="210"/>
      <c r="FK23" s="210"/>
      <c r="FL23" s="7"/>
      <c r="FM23" s="210"/>
      <c r="FN23" s="210"/>
      <c r="FO23" s="210"/>
      <c r="FP23" s="210"/>
      <c r="FQ23" s="210"/>
      <c r="FR23" s="7"/>
      <c r="FS23" s="212"/>
      <c r="FT23" s="214">
        <v>64</v>
      </c>
      <c r="FU23" s="366"/>
      <c r="FV23" s="366"/>
      <c r="FW23" s="369"/>
      <c r="FX23" s="375"/>
      <c r="FY23" s="210"/>
    </row>
    <row r="24" spans="1:181" ht="15">
      <c r="A24" s="62" t="s">
        <v>52</v>
      </c>
      <c r="B24" s="66" t="s">
        <v>16</v>
      </c>
      <c r="C24" s="2">
        <v>37</v>
      </c>
      <c r="D24" s="4">
        <f t="shared" si="85"/>
      </c>
      <c r="E24" s="87" t="str">
        <f>VLOOKUP(A24,Tirage!$D$1:$F$40,3,FALSE)</f>
        <v>Slovénie</v>
      </c>
      <c r="F24" s="243"/>
      <c r="G24" s="243"/>
      <c r="H24" s="315" t="str">
        <f>VLOOKUP(B24,Tirage!$D$1:$F$40,3,FALSE)</f>
        <v>Angleterre</v>
      </c>
      <c r="I24" s="302"/>
      <c r="J24" s="4">
        <f t="shared" si="86"/>
      </c>
      <c r="K24" s="198">
        <v>39987</v>
      </c>
      <c r="L24" s="199" t="s">
        <v>106</v>
      </c>
      <c r="M24" s="200">
        <v>0.6666666666666666</v>
      </c>
      <c r="N24" s="257" t="s">
        <v>113</v>
      </c>
      <c r="O24" s="69"/>
      <c r="P24" s="40"/>
      <c r="Q24" s="291">
        <f>IF(N20="Tirage","Résultat tirage:",AH24)</f>
      </c>
      <c r="R24" s="296"/>
      <c r="S24" s="296"/>
      <c r="T24" s="296"/>
      <c r="AH24">
        <f>IF(G25="","",AH20)</f>
      </c>
      <c r="AI24">
        <f t="shared" si="87"/>
      </c>
      <c r="AJ24">
        <f t="shared" si="88"/>
        <v>1</v>
      </c>
      <c r="AK24">
        <f t="shared" si="89"/>
        <v>1</v>
      </c>
      <c r="AL24">
        <f t="shared" si="90"/>
      </c>
      <c r="AN24">
        <f t="shared" si="91"/>
      </c>
      <c r="AO24">
        <f t="shared" si="92"/>
        <v>1</v>
      </c>
      <c r="AP24">
        <f t="shared" si="93"/>
        <v>1</v>
      </c>
      <c r="AQ24">
        <f t="shared" si="94"/>
      </c>
      <c r="DM24">
        <f>IF(SUM(DM20:DM23)=2,"2P1","")</f>
      </c>
      <c r="DO24">
        <f>IF(DT20="",DP24,DT20)</f>
      </c>
      <c r="DP24">
        <f>IF(DT21="",DQ24,DT21)</f>
      </c>
      <c r="DQ24">
        <f>IF(DT22="",DR24,DT22)</f>
      </c>
      <c r="DR24">
        <f>IF(DT23="","",DT23)</f>
      </c>
      <c r="DW24">
        <f>IF(SUM(DW20:DW23)=4,"2P2","")</f>
      </c>
      <c r="DY24">
        <f>IF(ED20="",DZ24,ED20)</f>
      </c>
      <c r="DZ24">
        <f>IF(ED21="",EA24,ED21)</f>
      </c>
      <c r="EA24">
        <f>IF(ED22="",EB24,ED22)</f>
      </c>
      <c r="EB24">
        <f>IF(ED23="","",ED23)</f>
      </c>
      <c r="EC24">
        <f>IF(SUM(DW20:DW23)=6,"3P2","")</f>
      </c>
      <c r="ED24">
        <f>IF(EC20=1,ED20,EE24)</f>
      </c>
      <c r="EE24">
        <f>IF(EC21=2,ED21,EF24)</f>
      </c>
      <c r="EF24">
        <f>IF(EC22=3,ED22,EG24)</f>
      </c>
      <c r="EG24">
        <f>IF(EC23=4,ED23,"")</f>
      </c>
      <c r="EI24">
        <f>IF(SUM(DM20:DM23)=3,"3P1","")</f>
      </c>
      <c r="EJ24">
        <f>IF(EI20=1,EJ20,EK24)</f>
      </c>
      <c r="EK24">
        <f>IF(EI21=2,EJ21,EL24)</f>
      </c>
      <c r="EL24">
        <f>IF(EI22=3,EJ22,EM24)</f>
      </c>
      <c r="EM24">
        <f>IF(EI23=4,EJ23,"")</f>
      </c>
      <c r="EO24">
        <f>IF(SUM(DM20:DM23)=4,"4P1","")</f>
      </c>
      <c r="EQ24">
        <f>IF(SUM(EQ20:EQ23)=6,"2P3","")</f>
      </c>
      <c r="FB24" s="210"/>
      <c r="FC24" s="7"/>
      <c r="FD24" s="245">
        <v>39991</v>
      </c>
      <c r="FE24" s="219" t="s">
        <v>126</v>
      </c>
      <c r="FF24" s="220" t="s">
        <v>125</v>
      </c>
      <c r="FG24" s="210"/>
      <c r="FH24" s="210"/>
      <c r="FI24" s="210"/>
      <c r="FJ24" s="210"/>
      <c r="FK24" s="210"/>
      <c r="FL24" s="7"/>
      <c r="FM24" s="210"/>
      <c r="FN24" s="210"/>
      <c r="FO24" s="210"/>
      <c r="FP24" s="210"/>
      <c r="FQ24" s="210"/>
      <c r="FR24" s="7"/>
      <c r="FS24" s="212"/>
      <c r="FT24" s="210"/>
      <c r="FU24" s="367">
        <f>IF((OR(FQ32="",FQ33="",AND(FQ32=FQ33,OR(FR32="",FR33="")))),"",(IF((FQ32+FR32)&gt;(FQ33+FR33),FP32,FP33)))</f>
      </c>
      <c r="FV24" s="367"/>
      <c r="FW24" s="369"/>
      <c r="FX24" s="375"/>
      <c r="FY24" s="210"/>
    </row>
    <row r="25" spans="1:181" ht="15">
      <c r="A25" s="63" t="s">
        <v>17</v>
      </c>
      <c r="B25" s="63" t="s">
        <v>50</v>
      </c>
      <c r="C25" s="5">
        <v>38</v>
      </c>
      <c r="D25" s="6">
        <f t="shared" si="85"/>
      </c>
      <c r="E25" s="88" t="str">
        <f>VLOOKUP(A25,Tirage!$D$1:$F$40,3,FALSE)</f>
        <v>U.S.A</v>
      </c>
      <c r="F25" s="244"/>
      <c r="G25" s="244"/>
      <c r="H25" s="316" t="str">
        <f>VLOOKUP(B25,Tirage!$D$1:$F$40,3,FALSE)</f>
        <v>Algérie</v>
      </c>
      <c r="I25" s="300"/>
      <c r="J25" s="6">
        <f t="shared" si="86"/>
      </c>
      <c r="K25" s="201">
        <v>39987</v>
      </c>
      <c r="L25" s="199" t="s">
        <v>102</v>
      </c>
      <c r="M25" s="203">
        <v>0.6666666666666666</v>
      </c>
      <c r="N25" s="258" t="s">
        <v>114</v>
      </c>
      <c r="O25" s="109"/>
      <c r="P25" s="41"/>
      <c r="Q25" s="292">
        <f>IF(N21="Tirage","Résultat tirage:",AH25)</f>
      </c>
      <c r="R25" s="307"/>
      <c r="S25" s="307"/>
      <c r="T25" s="307"/>
      <c r="AG25">
        <f>IF(J25="","",1)</f>
      </c>
      <c r="AH25">
        <f>IF(G25="","",AH21)</f>
      </c>
      <c r="AI25">
        <f t="shared" si="87"/>
      </c>
      <c r="AJ25">
        <f t="shared" si="88"/>
        <v>1</v>
      </c>
      <c r="AK25">
        <f t="shared" si="89"/>
        <v>1</v>
      </c>
      <c r="AL25">
        <f t="shared" si="90"/>
      </c>
      <c r="AN25">
        <f t="shared" si="91"/>
      </c>
      <c r="AO25">
        <f t="shared" si="92"/>
        <v>1</v>
      </c>
      <c r="AP25">
        <f t="shared" si="93"/>
        <v>1</v>
      </c>
      <c r="AQ25">
        <f t="shared" si="94"/>
      </c>
      <c r="DO25">
        <f>IF(DT23="",DP25,DT23)</f>
      </c>
      <c r="DP25">
        <f>IF(DT22="",DQ25,DT22)</f>
      </c>
      <c r="DQ25">
        <f>IF(DT21="",DR25,DT21)</f>
      </c>
      <c r="DR25">
        <f>IF(DT20="","",DT20)</f>
      </c>
      <c r="DY25">
        <f>IF(ED23="",DZ25,ED23)</f>
      </c>
      <c r="DZ25">
        <f>IF(ED22="",EA25,ED22)</f>
      </c>
      <c r="EA25">
        <f>IF(ED21="",EB25,ED21)</f>
      </c>
      <c r="EB25">
        <f>IF(ED20="","",ED20)</f>
      </c>
      <c r="FB25" s="210">
        <v>52</v>
      </c>
      <c r="FC25" s="1" t="s">
        <v>111</v>
      </c>
      <c r="FD25" s="222">
        <f>IF(Q16="","",IF(N12="Tirage",IF(R16="","",R16),Q16))</f>
      </c>
      <c r="FE25" s="237"/>
      <c r="FF25" s="238"/>
      <c r="FG25" s="210"/>
      <c r="FH25" s="210"/>
      <c r="FI25" s="210"/>
      <c r="FJ25" s="210"/>
      <c r="FK25" s="210"/>
      <c r="FL25" s="7"/>
      <c r="FM25" s="210"/>
      <c r="FN25" s="210"/>
      <c r="FO25" s="210"/>
      <c r="FP25" s="210"/>
      <c r="FQ25" s="210"/>
      <c r="FR25" s="7"/>
      <c r="FS25" s="212"/>
      <c r="FT25" s="210"/>
      <c r="FU25" s="365"/>
      <c r="FV25" s="365"/>
      <c r="FW25" s="373"/>
      <c r="FX25" s="376"/>
      <c r="FY25" s="210"/>
    </row>
    <row r="26" spans="1:181" ht="15" hidden="1">
      <c r="A26" s="62"/>
      <c r="B26" s="62"/>
      <c r="C26" s="72"/>
      <c r="D26" s="54"/>
      <c r="E26" s="99"/>
      <c r="F26" s="100"/>
      <c r="G26" s="100"/>
      <c r="H26" s="100"/>
      <c r="I26" s="99"/>
      <c r="J26" s="54"/>
      <c r="K26" s="188"/>
      <c r="L26" s="73"/>
      <c r="M26" s="14"/>
      <c r="N26" s="67"/>
      <c r="O26" s="78"/>
      <c r="P26" s="78"/>
      <c r="Q26" s="75"/>
      <c r="R26" s="76"/>
      <c r="S26" s="76"/>
      <c r="T26" s="76"/>
      <c r="AX26">
        <v>111</v>
      </c>
      <c r="AY26">
        <v>112</v>
      </c>
      <c r="AZ26">
        <v>113</v>
      </c>
      <c r="BA26">
        <v>114</v>
      </c>
      <c r="BB26">
        <v>121</v>
      </c>
      <c r="BC26">
        <v>122</v>
      </c>
      <c r="BD26">
        <v>123</v>
      </c>
      <c r="BE26">
        <v>124</v>
      </c>
      <c r="BF26">
        <v>131</v>
      </c>
      <c r="BG26">
        <v>132</v>
      </c>
      <c r="BH26">
        <v>133</v>
      </c>
      <c r="BI26">
        <v>134</v>
      </c>
      <c r="BJ26">
        <v>141</v>
      </c>
      <c r="BK26">
        <v>142</v>
      </c>
      <c r="BL26">
        <v>143</v>
      </c>
      <c r="BM26">
        <v>144</v>
      </c>
      <c r="BN26">
        <v>211</v>
      </c>
      <c r="BO26">
        <v>212</v>
      </c>
      <c r="BP26">
        <v>213</v>
      </c>
      <c r="BQ26">
        <v>214</v>
      </c>
      <c r="BR26">
        <v>221</v>
      </c>
      <c r="BS26">
        <v>222</v>
      </c>
      <c r="BT26">
        <v>223</v>
      </c>
      <c r="BU26">
        <v>224</v>
      </c>
      <c r="BV26">
        <v>231</v>
      </c>
      <c r="BW26">
        <v>232</v>
      </c>
      <c r="BX26">
        <v>233</v>
      </c>
      <c r="BY26">
        <v>234</v>
      </c>
      <c r="BZ26">
        <v>241</v>
      </c>
      <c r="CA26">
        <v>242</v>
      </c>
      <c r="CB26">
        <v>243</v>
      </c>
      <c r="CC26">
        <v>244</v>
      </c>
      <c r="CD26">
        <v>311</v>
      </c>
      <c r="CE26">
        <v>312</v>
      </c>
      <c r="CF26">
        <v>313</v>
      </c>
      <c r="CG26">
        <v>314</v>
      </c>
      <c r="CH26">
        <v>321</v>
      </c>
      <c r="CI26">
        <v>322</v>
      </c>
      <c r="CJ26">
        <v>323</v>
      </c>
      <c r="CK26">
        <v>324</v>
      </c>
      <c r="CL26">
        <v>331</v>
      </c>
      <c r="CM26">
        <v>332</v>
      </c>
      <c r="CN26">
        <v>333</v>
      </c>
      <c r="CO26">
        <v>334</v>
      </c>
      <c r="CP26">
        <v>341</v>
      </c>
      <c r="CQ26">
        <v>342</v>
      </c>
      <c r="CR26">
        <v>343</v>
      </c>
      <c r="CS26">
        <v>344</v>
      </c>
      <c r="CT26">
        <v>411</v>
      </c>
      <c r="CU26">
        <v>412</v>
      </c>
      <c r="CV26">
        <v>413</v>
      </c>
      <c r="CW26">
        <v>414</v>
      </c>
      <c r="CX26">
        <v>421</v>
      </c>
      <c r="CY26">
        <v>422</v>
      </c>
      <c r="CZ26">
        <v>423</v>
      </c>
      <c r="DA26">
        <v>424</v>
      </c>
      <c r="DB26">
        <v>431</v>
      </c>
      <c r="DC26">
        <v>432</v>
      </c>
      <c r="DD26">
        <v>433</v>
      </c>
      <c r="DE26">
        <v>434</v>
      </c>
      <c r="DF26">
        <v>441</v>
      </c>
      <c r="DG26">
        <v>442</v>
      </c>
      <c r="DH26">
        <v>443</v>
      </c>
      <c r="DI26">
        <v>444</v>
      </c>
      <c r="DM26" t="s">
        <v>86</v>
      </c>
      <c r="DW26" t="s">
        <v>87</v>
      </c>
      <c r="EC26" t="s">
        <v>88</v>
      </c>
      <c r="EI26" t="s">
        <v>89</v>
      </c>
      <c r="EO26" t="s">
        <v>90</v>
      </c>
      <c r="EQ26" t="s">
        <v>91</v>
      </c>
      <c r="FB26" s="210"/>
      <c r="FC26" s="221"/>
      <c r="FD26" s="224"/>
      <c r="FE26" s="241"/>
      <c r="FF26" s="242"/>
      <c r="FG26" s="210"/>
      <c r="FH26" s="210"/>
      <c r="FI26" s="210"/>
      <c r="FJ26" s="210"/>
      <c r="FL26" s="209"/>
      <c r="FM26" s="210"/>
      <c r="FN26" s="210"/>
      <c r="FO26" s="210"/>
      <c r="FP26" s="210"/>
      <c r="FQ26" s="210"/>
      <c r="FR26" s="7"/>
      <c r="FS26" s="212"/>
      <c r="FT26" s="210"/>
      <c r="FU26" s="210"/>
      <c r="FV26" s="210"/>
      <c r="FW26" s="210"/>
      <c r="FX26" s="7"/>
      <c r="FY26" s="210"/>
    </row>
    <row r="27" spans="1:181" ht="15">
      <c r="A27" s="105"/>
      <c r="B27" s="58"/>
      <c r="C27" s="2"/>
      <c r="D27" s="123" t="s">
        <v>83</v>
      </c>
      <c r="E27" s="348" t="s">
        <v>4</v>
      </c>
      <c r="F27" s="349"/>
      <c r="G27" s="349"/>
      <c r="H27" s="349"/>
      <c r="I27" s="350"/>
      <c r="J27" s="123" t="s">
        <v>83</v>
      </c>
      <c r="K27" s="191" t="s">
        <v>11</v>
      </c>
      <c r="L27" s="196" t="s">
        <v>12</v>
      </c>
      <c r="M27" s="124" t="s">
        <v>13</v>
      </c>
      <c r="N27" s="345" t="s">
        <v>134</v>
      </c>
      <c r="O27" s="346"/>
      <c r="P27" s="346"/>
      <c r="Q27" s="347"/>
      <c r="R27" s="125" t="s">
        <v>83</v>
      </c>
      <c r="S27" s="281" t="s">
        <v>84</v>
      </c>
      <c r="T27" s="125" t="s">
        <v>85</v>
      </c>
      <c r="W27" t="s">
        <v>83</v>
      </c>
      <c r="X27" t="s">
        <v>84</v>
      </c>
      <c r="Y27" t="s">
        <v>85</v>
      </c>
      <c r="AI27" t="s">
        <v>92</v>
      </c>
      <c r="AJ27" t="s">
        <v>93</v>
      </c>
      <c r="AK27" t="s">
        <v>94</v>
      </c>
      <c r="AL27" t="s">
        <v>95</v>
      </c>
      <c r="AN27" t="s">
        <v>92</v>
      </c>
      <c r="AO27" t="s">
        <v>93</v>
      </c>
      <c r="AP27" t="s">
        <v>94</v>
      </c>
      <c r="AQ27" t="s">
        <v>95</v>
      </c>
      <c r="AS27" t="s">
        <v>96</v>
      </c>
      <c r="AT27" t="s">
        <v>97</v>
      </c>
      <c r="AU27" t="s">
        <v>98</v>
      </c>
      <c r="FB27" s="210"/>
      <c r="FC27" s="217" t="s">
        <v>110</v>
      </c>
      <c r="FD27" s="223">
        <f>IF(Q9="","",IF(N5="Tirage",IF(R9="","",R9),Q9))</f>
      </c>
      <c r="FE27" s="239"/>
      <c r="FF27" s="240"/>
      <c r="FG27" s="211"/>
      <c r="FH27" s="210"/>
      <c r="FI27" s="210"/>
      <c r="FJ27" s="245">
        <v>39997</v>
      </c>
      <c r="FK27" s="219" t="s">
        <v>126</v>
      </c>
      <c r="FL27" s="220" t="s">
        <v>125</v>
      </c>
      <c r="FM27" s="210"/>
      <c r="FN27" s="210"/>
      <c r="FO27" s="210"/>
      <c r="FP27" s="210"/>
      <c r="FQ27" s="210"/>
      <c r="FR27" s="7"/>
      <c r="FS27" s="212"/>
      <c r="FT27" s="210"/>
      <c r="FU27" s="210"/>
      <c r="FV27" s="210"/>
      <c r="FW27" s="210"/>
      <c r="FX27" s="7"/>
      <c r="FY27" s="210"/>
    </row>
    <row r="28" spans="1:181" ht="15">
      <c r="A28" s="62" t="s">
        <v>18</v>
      </c>
      <c r="B28" s="66" t="s">
        <v>19</v>
      </c>
      <c r="C28" s="2">
        <v>7</v>
      </c>
      <c r="D28" s="3">
        <f aca="true" t="shared" si="96" ref="D28:D33">IF(F28="","",AI28)</f>
      </c>
      <c r="E28" s="89" t="str">
        <f>VLOOKUP(A28,Tirage!$D$1:$F$40,3,FALSE)</f>
        <v>Allemagne</v>
      </c>
      <c r="F28" s="243"/>
      <c r="G28" s="243"/>
      <c r="H28" s="305" t="str">
        <f>VLOOKUP(B28,Tirage!$D$1:$F$40,3,FALSE)</f>
        <v>Australie</v>
      </c>
      <c r="I28" s="302"/>
      <c r="J28" s="3">
        <f aca="true" t="shared" si="97" ref="J28:J33">IF(F28="","",AO28)</f>
      </c>
      <c r="K28" s="198">
        <v>39977</v>
      </c>
      <c r="L28" s="199" t="s">
        <v>107</v>
      </c>
      <c r="M28" s="200">
        <v>0.8541666666666666</v>
      </c>
      <c r="N28" s="259">
        <f>IF(AND(OR(DM32="2P1",EI32="3P1",EO32="4P1"),AG33=1),"Tirage",1)</f>
        <v>1</v>
      </c>
      <c r="O28" s="11"/>
      <c r="P28" s="11"/>
      <c r="Q28" s="21" t="str">
        <f>DS28</f>
        <v>Allemagne</v>
      </c>
      <c r="R28" s="158">
        <f>IF(W28="","",VLOOKUP(Q28,V28:Y31,2,FALSE))</f>
      </c>
      <c r="S28" s="158">
        <f>IF(X28="","",VLOOKUP(Q28,V28:Y31,3,FALSE))</f>
      </c>
      <c r="T28" s="159">
        <f>IF($Y$4="","",VLOOKUP(Q28,V28:Y31,4,FALSE))</f>
      </c>
      <c r="V28" t="str">
        <f>E28</f>
        <v>Allemagne</v>
      </c>
      <c r="W28">
        <f>IF(F28="","",SUM(D28,D30,J32))</f>
      </c>
      <c r="X28">
        <f>IF(F28="","",SUM((F28-G28)+(F30-G30)+(G32-F32)))</f>
      </c>
      <c r="Y28">
        <f>IF(F28="","",SUM(F28,F30,G32))</f>
      </c>
      <c r="AH28" t="str">
        <f>IF(DR28=TRUE,V28,DP28)</f>
        <v>Allemagne</v>
      </c>
      <c r="AI28">
        <f aca="true" t="shared" si="98" ref="AI28:AI33">IF(G28="","",AJ28)</f>
      </c>
      <c r="AJ28">
        <f aca="true" t="shared" si="99" ref="AJ28:AJ33">IF(F28&lt;G28,0,AK28)</f>
        <v>1</v>
      </c>
      <c r="AK28">
        <f aca="true" t="shared" si="100" ref="AK28:AK33">IF(F28=G28,1,AL28)</f>
        <v>1</v>
      </c>
      <c r="AL28">
        <f aca="true" t="shared" si="101" ref="AL28:AL33">IF(F28&gt;G28,3,"")</f>
      </c>
      <c r="AN28">
        <f aca="true" t="shared" si="102" ref="AN28:AN33">IF(G28="","",AO28)</f>
      </c>
      <c r="AO28">
        <f aca="true" t="shared" si="103" ref="AO28:AO33">IF(G28&lt;F28,0,AP28)</f>
        <v>1</v>
      </c>
      <c r="AP28">
        <f aca="true" t="shared" si="104" ref="AP28:AP33">IF(G28=F28,1,AQ28)</f>
        <v>1</v>
      </c>
      <c r="AQ28">
        <f aca="true" t="shared" si="105" ref="AQ28:AQ33">IF(G28&gt;F28,3,"")</f>
      </c>
      <c r="AR28" t="str">
        <f>V28</f>
        <v>Allemagne</v>
      </c>
      <c r="AS28">
        <f>IF(W28="","",RANK(W28,W28:W31))</f>
      </c>
      <c r="AT28">
        <f>IF(X28="","",RANK(X28,X28:X31))</f>
      </c>
      <c r="AU28">
        <f>IF(Y28="","",RANK(Y28,Y28:Y31))</f>
      </c>
      <c r="AV28" t="str">
        <f>AR28</f>
        <v>Allemagne</v>
      </c>
      <c r="AW28">
        <f>IF(AS28="","",AX28)</f>
      </c>
      <c r="AX28">
        <f t="shared" si="21"/>
      </c>
      <c r="AY28">
        <f t="shared" si="22"/>
      </c>
      <c r="AZ28">
        <f t="shared" si="23"/>
      </c>
      <c r="BA28">
        <f t="shared" si="24"/>
      </c>
      <c r="BB28">
        <f t="shared" si="25"/>
      </c>
      <c r="BC28">
        <f t="shared" si="26"/>
      </c>
      <c r="BD28">
        <f t="shared" si="27"/>
      </c>
      <c r="BE28">
        <f t="shared" si="28"/>
      </c>
      <c r="BF28">
        <f t="shared" si="29"/>
      </c>
      <c r="BG28">
        <f t="shared" si="30"/>
      </c>
      <c r="BH28">
        <f t="shared" si="31"/>
      </c>
      <c r="BI28">
        <f t="shared" si="32"/>
      </c>
      <c r="BJ28">
        <f t="shared" si="33"/>
      </c>
      <c r="BK28">
        <f t="shared" si="34"/>
      </c>
      <c r="BL28">
        <f t="shared" si="35"/>
      </c>
      <c r="BM28">
        <f t="shared" si="36"/>
      </c>
      <c r="BN28">
        <f t="shared" si="37"/>
      </c>
      <c r="BO28">
        <f t="shared" si="38"/>
      </c>
      <c r="BP28">
        <f t="shared" si="39"/>
      </c>
      <c r="BQ28">
        <f t="shared" si="40"/>
      </c>
      <c r="BR28">
        <f t="shared" si="41"/>
      </c>
      <c r="BS28">
        <f t="shared" si="42"/>
      </c>
      <c r="BT28">
        <f t="shared" si="43"/>
      </c>
      <c r="BU28">
        <f t="shared" si="44"/>
      </c>
      <c r="BV28">
        <f t="shared" si="45"/>
      </c>
      <c r="BW28">
        <f t="shared" si="46"/>
      </c>
      <c r="BX28">
        <f t="shared" si="47"/>
      </c>
      <c r="BY28">
        <f t="shared" si="48"/>
      </c>
      <c r="BZ28">
        <f t="shared" si="49"/>
      </c>
      <c r="CA28">
        <f t="shared" si="50"/>
      </c>
      <c r="CB28">
        <f t="shared" si="51"/>
      </c>
      <c r="CC28">
        <f t="shared" si="52"/>
      </c>
      <c r="CD28">
        <f t="shared" si="53"/>
      </c>
      <c r="CE28">
        <f t="shared" si="54"/>
      </c>
      <c r="CF28">
        <f t="shared" si="55"/>
      </c>
      <c r="CG28">
        <f t="shared" si="56"/>
      </c>
      <c r="CH28">
        <f t="shared" si="57"/>
      </c>
      <c r="CI28">
        <f t="shared" si="58"/>
      </c>
      <c r="CJ28">
        <f t="shared" si="59"/>
      </c>
      <c r="CK28">
        <f t="shared" si="60"/>
      </c>
      <c r="CL28">
        <f t="shared" si="61"/>
      </c>
      <c r="CM28">
        <f t="shared" si="62"/>
      </c>
      <c r="CN28">
        <f t="shared" si="63"/>
      </c>
      <c r="CO28">
        <f t="shared" si="64"/>
      </c>
      <c r="CP28">
        <f t="shared" si="65"/>
      </c>
      <c r="CQ28">
        <f t="shared" si="66"/>
      </c>
      <c r="CR28">
        <f t="shared" si="67"/>
      </c>
      <c r="CS28">
        <f t="shared" si="68"/>
      </c>
      <c r="CT28">
        <f t="shared" si="69"/>
      </c>
      <c r="CU28">
        <f t="shared" si="70"/>
      </c>
      <c r="CV28">
        <f t="shared" si="71"/>
      </c>
      <c r="CW28">
        <f t="shared" si="72"/>
      </c>
      <c r="CX28">
        <f t="shared" si="73"/>
      </c>
      <c r="CY28">
        <f t="shared" si="74"/>
      </c>
      <c r="CZ28">
        <f t="shared" si="75"/>
      </c>
      <c r="DA28">
        <f t="shared" si="76"/>
      </c>
      <c r="DB28">
        <f t="shared" si="77"/>
      </c>
      <c r="DC28">
        <f t="shared" si="78"/>
      </c>
      <c r="DD28">
        <f t="shared" si="79"/>
      </c>
      <c r="DE28">
        <f t="shared" si="80"/>
      </c>
      <c r="DF28">
        <f t="shared" si="81"/>
      </c>
      <c r="DG28">
        <f t="shared" si="82"/>
      </c>
      <c r="DH28">
        <f t="shared" si="83"/>
      </c>
      <c r="DI28">
        <f t="shared" si="84"/>
      </c>
      <c r="DK28" t="str">
        <f>AV28</f>
        <v>Allemagne</v>
      </c>
      <c r="DL28">
        <f>IF(AW28="",0,RANK(AW28,AW28:AW31,1))</f>
        <v>0</v>
      </c>
      <c r="DM28">
        <f t="shared" si="95"/>
      </c>
      <c r="DN28" t="str">
        <f>DK28</f>
        <v>Allemagne</v>
      </c>
      <c r="DO28">
        <v>1</v>
      </c>
      <c r="DP28" t="e">
        <f>VLOOKUP(DO28,DL28:DN31,3,FALSE)</f>
        <v>#N/A</v>
      </c>
      <c r="DQ28" t="e">
        <f>VLOOKUP(DP28,DK28:DL31,2,FALSE)</f>
        <v>#N/A</v>
      </c>
      <c r="DR28" t="b">
        <f>ISERROR(DP28)</f>
        <v>1</v>
      </c>
      <c r="DS28" t="str">
        <f>IF(DM32="2p1",DO32,EN28)</f>
        <v>Allemagne</v>
      </c>
      <c r="DT28">
        <f>IF(DL28=1,DK28,"")</f>
      </c>
      <c r="DW28">
        <f>IF(DL28=2,2,"")</f>
      </c>
      <c r="EC28">
        <f>IF(ED28="","",1)</f>
      </c>
      <c r="ED28">
        <f>IF(DL28=2,DK28,"")</f>
      </c>
      <c r="EI28">
        <f>IF(EJ28="","",1)</f>
      </c>
      <c r="EJ28">
        <f>IF(DL28=1,DK28,"")</f>
      </c>
      <c r="EN28" t="str">
        <f>IF(EI32="3p1",EJ32,EP28)</f>
        <v>Allemagne</v>
      </c>
      <c r="EP28" t="str">
        <f>IF(EO32="4p1",DK28,AH28)</f>
        <v>Allemagne</v>
      </c>
      <c r="EQ28">
        <f>IF(DL28=3,3,"")</f>
      </c>
      <c r="FB28" s="210"/>
      <c r="FC28" s="7"/>
      <c r="FD28" s="210"/>
      <c r="FE28" s="7"/>
      <c r="FF28" s="7"/>
      <c r="FG28" s="210"/>
      <c r="FH28" s="214">
        <v>59</v>
      </c>
      <c r="FI28" s="206"/>
      <c r="FJ28" s="231">
        <f>IF((OR(FE25="",FE27="",AND(FE25=FE27,OR(FF25="",FF27="")))),"",(IF((FE25+FF25)&gt;(FE27+FF27),FD25,FD27)))</f>
      </c>
      <c r="FK28" s="287"/>
      <c r="FL28" s="234"/>
      <c r="FM28" s="210"/>
      <c r="FN28" s="210"/>
      <c r="FO28" s="210"/>
      <c r="FP28" s="210"/>
      <c r="FQ28" s="210"/>
      <c r="FR28" s="7"/>
      <c r="FS28" s="212"/>
      <c r="FT28" s="210"/>
      <c r="FU28" s="210"/>
      <c r="FV28" s="210"/>
      <c r="FW28" s="210"/>
      <c r="FX28" s="7"/>
      <c r="FY28" s="210"/>
    </row>
    <row r="29" spans="1:181" ht="15">
      <c r="A29" s="62" t="s">
        <v>57</v>
      </c>
      <c r="B29" s="66" t="s">
        <v>59</v>
      </c>
      <c r="C29" s="2">
        <v>8</v>
      </c>
      <c r="D29" s="4">
        <f t="shared" si="96"/>
      </c>
      <c r="E29" s="89" t="str">
        <f>VLOOKUP(A29,Tirage!$D$1:$F$40,3,FALSE)</f>
        <v>Serbie</v>
      </c>
      <c r="F29" s="243"/>
      <c r="G29" s="243"/>
      <c r="H29" s="305" t="str">
        <f>VLOOKUP(B29,Tirage!$D$1:$F$40,3,FALSE)</f>
        <v>Ghana</v>
      </c>
      <c r="I29" s="302"/>
      <c r="J29" s="4">
        <f t="shared" si="97"/>
      </c>
      <c r="K29" s="198">
        <v>39977</v>
      </c>
      <c r="L29" s="199" t="s">
        <v>102</v>
      </c>
      <c r="M29" s="200">
        <v>0.6666666666666666</v>
      </c>
      <c r="N29" s="260">
        <f>IF(AND(OR(DM32="2P1",EI32="3P1",EO32="4P1",DW32="2P2",EC32="3P2"),AG33=1),"Tirage",2)</f>
        <v>2</v>
      </c>
      <c r="O29" s="11"/>
      <c r="P29" s="11"/>
      <c r="Q29" s="22" t="str">
        <f>DS29</f>
        <v>Australie</v>
      </c>
      <c r="R29" s="160">
        <f>IF(W29="","",VLOOKUP(Q29,V28:Y31,2,FALSE))</f>
      </c>
      <c r="S29" s="160">
        <f>IF(X29="","",VLOOKUP(Q29,V28:Y31,3,FALSE))</f>
      </c>
      <c r="T29" s="161">
        <f>IF($Y$4="","",VLOOKUP(Q29,V28:Y31,4,FALSE))</f>
      </c>
      <c r="V29" t="str">
        <f>H28</f>
        <v>Australie</v>
      </c>
      <c r="W29">
        <f>IF(F28="","",SUM(J28,J31,D33))</f>
      </c>
      <c r="X29">
        <f>IF(F28="","",SUM(G28-F28+G31-F31+F33-G33))</f>
      </c>
      <c r="Y29">
        <f>IF(F28="","",SUM(G28,G31,F33))</f>
      </c>
      <c r="AH29" t="str">
        <f>IF(DR29=TRUE,V29,DP29)</f>
        <v>Australie</v>
      </c>
      <c r="AI29">
        <f t="shared" si="98"/>
      </c>
      <c r="AJ29">
        <f t="shared" si="99"/>
        <v>1</v>
      </c>
      <c r="AK29">
        <f t="shared" si="100"/>
        <v>1</v>
      </c>
      <c r="AL29">
        <f t="shared" si="101"/>
      </c>
      <c r="AN29">
        <f t="shared" si="102"/>
      </c>
      <c r="AO29">
        <f t="shared" si="103"/>
        <v>1</v>
      </c>
      <c r="AP29">
        <f t="shared" si="104"/>
        <v>1</v>
      </c>
      <c r="AQ29">
        <f t="shared" si="105"/>
      </c>
      <c r="AR29" t="str">
        <f>V29</f>
        <v>Australie</v>
      </c>
      <c r="AS29">
        <f>IF(W29="","",RANK(W29,W28:W31))</f>
      </c>
      <c r="AT29">
        <f>IF(X29="","",RANK(X29,X28:X31))</f>
      </c>
      <c r="AU29">
        <f>IF(Y29="","",RANK(Y29,Y28:Y31))</f>
      </c>
      <c r="AV29" t="str">
        <f>AR29</f>
        <v>Australie</v>
      </c>
      <c r="AW29">
        <f>IF(AS29="","",AX29)</f>
      </c>
      <c r="AX29">
        <f t="shared" si="21"/>
      </c>
      <c r="AY29">
        <f t="shared" si="22"/>
      </c>
      <c r="AZ29">
        <f t="shared" si="23"/>
      </c>
      <c r="BA29">
        <f t="shared" si="24"/>
      </c>
      <c r="BB29">
        <f t="shared" si="25"/>
      </c>
      <c r="BC29">
        <f t="shared" si="26"/>
      </c>
      <c r="BD29">
        <f t="shared" si="27"/>
      </c>
      <c r="BE29">
        <f t="shared" si="28"/>
      </c>
      <c r="BF29">
        <f t="shared" si="29"/>
      </c>
      <c r="BG29">
        <f t="shared" si="30"/>
      </c>
      <c r="BH29">
        <f t="shared" si="31"/>
      </c>
      <c r="BI29">
        <f t="shared" si="32"/>
      </c>
      <c r="BJ29">
        <f t="shared" si="33"/>
      </c>
      <c r="BK29">
        <f t="shared" si="34"/>
      </c>
      <c r="BL29">
        <f t="shared" si="35"/>
      </c>
      <c r="BM29">
        <f t="shared" si="36"/>
      </c>
      <c r="BN29">
        <f t="shared" si="37"/>
      </c>
      <c r="BO29">
        <f t="shared" si="38"/>
      </c>
      <c r="BP29">
        <f t="shared" si="39"/>
      </c>
      <c r="BQ29">
        <f t="shared" si="40"/>
      </c>
      <c r="BR29">
        <f t="shared" si="41"/>
      </c>
      <c r="BS29">
        <f t="shared" si="42"/>
      </c>
      <c r="BT29">
        <f t="shared" si="43"/>
      </c>
      <c r="BU29">
        <f t="shared" si="44"/>
      </c>
      <c r="BV29">
        <f t="shared" si="45"/>
      </c>
      <c r="BW29">
        <f t="shared" si="46"/>
      </c>
      <c r="BX29">
        <f t="shared" si="47"/>
      </c>
      <c r="BY29">
        <f t="shared" si="48"/>
      </c>
      <c r="BZ29">
        <f t="shared" si="49"/>
      </c>
      <c r="CA29">
        <f t="shared" si="50"/>
      </c>
      <c r="CB29">
        <f t="shared" si="51"/>
      </c>
      <c r="CC29">
        <f t="shared" si="52"/>
      </c>
      <c r="CD29">
        <f t="shared" si="53"/>
      </c>
      <c r="CE29">
        <f t="shared" si="54"/>
      </c>
      <c r="CF29">
        <f t="shared" si="55"/>
      </c>
      <c r="CG29">
        <f t="shared" si="56"/>
      </c>
      <c r="CH29">
        <f t="shared" si="57"/>
      </c>
      <c r="CI29">
        <f t="shared" si="58"/>
      </c>
      <c r="CJ29">
        <f t="shared" si="59"/>
      </c>
      <c r="CK29">
        <f t="shared" si="60"/>
      </c>
      <c r="CL29">
        <f t="shared" si="61"/>
      </c>
      <c r="CM29">
        <f t="shared" si="62"/>
      </c>
      <c r="CN29">
        <f t="shared" si="63"/>
      </c>
      <c r="CO29">
        <f t="shared" si="64"/>
      </c>
      <c r="CP29">
        <f t="shared" si="65"/>
      </c>
      <c r="CQ29">
        <f t="shared" si="66"/>
      </c>
      <c r="CR29">
        <f t="shared" si="67"/>
      </c>
      <c r="CS29">
        <f t="shared" si="68"/>
      </c>
      <c r="CT29">
        <f t="shared" si="69"/>
      </c>
      <c r="CU29">
        <f t="shared" si="70"/>
      </c>
      <c r="CV29">
        <f t="shared" si="71"/>
      </c>
      <c r="CW29">
        <f t="shared" si="72"/>
      </c>
      <c r="CX29">
        <f t="shared" si="73"/>
      </c>
      <c r="CY29">
        <f t="shared" si="74"/>
      </c>
      <c r="CZ29">
        <f t="shared" si="75"/>
      </c>
      <c r="DA29">
        <f t="shared" si="76"/>
      </c>
      <c r="DB29">
        <f t="shared" si="77"/>
      </c>
      <c r="DC29">
        <f t="shared" si="78"/>
      </c>
      <c r="DD29">
        <f t="shared" si="79"/>
      </c>
      <c r="DE29">
        <f t="shared" si="80"/>
      </c>
      <c r="DF29">
        <f t="shared" si="81"/>
      </c>
      <c r="DG29">
        <f t="shared" si="82"/>
      </c>
      <c r="DH29">
        <f t="shared" si="83"/>
      </c>
      <c r="DI29">
        <f t="shared" si="84"/>
      </c>
      <c r="DK29" t="str">
        <f>AV29</f>
        <v>Australie</v>
      </c>
      <c r="DL29">
        <f>IF(AW29="",0,RANK(AW29,AW28:AW31,1))</f>
        <v>0</v>
      </c>
      <c r="DM29">
        <f t="shared" si="95"/>
      </c>
      <c r="DN29" t="str">
        <f>DK29</f>
        <v>Australie</v>
      </c>
      <c r="DO29">
        <v>2</v>
      </c>
      <c r="DP29" t="e">
        <f>VLOOKUP(DO29,DL28:DN31,3,FALSE)</f>
        <v>#N/A</v>
      </c>
      <c r="DQ29" t="e">
        <f>VLOOKUP(DP29,DK28:DL31,2,FALSE)</f>
        <v>#N/A</v>
      </c>
      <c r="DR29" t="b">
        <f>ISERROR(DP29)</f>
        <v>1</v>
      </c>
      <c r="DS29" t="str">
        <f>IF(DM32="2p1",DO33,DX29)</f>
        <v>Australie</v>
      </c>
      <c r="DT29">
        <f>IF(DL29=1,DK29,"")</f>
      </c>
      <c r="DW29">
        <f>IF(DL29=2,2,"")</f>
      </c>
      <c r="DX29" t="str">
        <f>IF(DW32="2p2",DY32,EH29)</f>
        <v>Australie</v>
      </c>
      <c r="EC29">
        <f>IF(ED29="","",2)</f>
      </c>
      <c r="ED29">
        <f>IF(DL29=2,DK29,"")</f>
      </c>
      <c r="EH29" t="str">
        <f>IF(EC32="3p2",ED32,EN29)</f>
        <v>Australie</v>
      </c>
      <c r="EI29">
        <f>IF(EJ29="","",2)</f>
      </c>
      <c r="EJ29">
        <f>IF(DL29=1,DK29,"")</f>
      </c>
      <c r="EN29" t="str">
        <f>IF(EI32="3p1",EK32,EP29)</f>
        <v>Australie</v>
      </c>
      <c r="EP29" t="str">
        <f>IF(EO32="4p1",DK29,AH29)</f>
        <v>Australie</v>
      </c>
      <c r="EQ29">
        <f>IF(DL29=3,3,"")</f>
      </c>
      <c r="FB29" s="210"/>
      <c r="FC29" s="7"/>
      <c r="FD29" s="245">
        <v>39991</v>
      </c>
      <c r="FE29" s="219" t="s">
        <v>126</v>
      </c>
      <c r="FF29" s="220" t="s">
        <v>125</v>
      </c>
      <c r="FG29" s="212"/>
      <c r="FH29" s="210"/>
      <c r="FI29" s="208"/>
      <c r="FJ29" s="233">
        <f>IF((OR(FE30="",FE31="",AND(FE30=FE31,OR(FF30="",FF31="")))),"",(IF((FE30+FF30)&gt;(FE31+FF31),FD30,FD31)))</f>
      </c>
      <c r="FK29" s="239"/>
      <c r="FL29" s="235"/>
      <c r="FM29" s="211"/>
      <c r="FN29" s="210"/>
      <c r="FO29" s="210"/>
      <c r="FP29" s="210"/>
      <c r="FQ29" s="210"/>
      <c r="FR29" s="7"/>
      <c r="FS29" s="212"/>
      <c r="FT29" s="210"/>
      <c r="FU29" s="210"/>
      <c r="FV29" s="227"/>
      <c r="FW29" s="210"/>
      <c r="FX29" s="7"/>
      <c r="FY29" s="210"/>
    </row>
    <row r="30" spans="1:181" ht="15">
      <c r="A30" s="62" t="s">
        <v>18</v>
      </c>
      <c r="B30" s="66" t="s">
        <v>57</v>
      </c>
      <c r="C30" s="2">
        <v>23</v>
      </c>
      <c r="D30" s="4">
        <f t="shared" si="96"/>
      </c>
      <c r="E30" s="89" t="str">
        <f>VLOOKUP(A30,Tirage!$D$1:$F$40,3,FALSE)</f>
        <v>Allemagne</v>
      </c>
      <c r="F30" s="243"/>
      <c r="G30" s="243"/>
      <c r="H30" s="305" t="str">
        <f>VLOOKUP(B30,Tirage!$D$1:$F$40,3,FALSE)</f>
        <v>Serbie</v>
      </c>
      <c r="I30" s="302"/>
      <c r="J30" s="4">
        <f t="shared" si="97"/>
      </c>
      <c r="K30" s="198">
        <v>39982</v>
      </c>
      <c r="L30" s="199" t="s">
        <v>106</v>
      </c>
      <c r="M30" s="200">
        <v>0.5625</v>
      </c>
      <c r="N30" s="260">
        <f>IF(AND(OR(EI32="3P1",EO32="4P1",DW32="2P2",EC32="3P2"),AG33=1),"Tirage",3)</f>
        <v>3</v>
      </c>
      <c r="O30" s="11"/>
      <c r="P30" s="11"/>
      <c r="Q30" s="22" t="str">
        <f>DS30</f>
        <v>Serbie</v>
      </c>
      <c r="R30" s="160">
        <f>IF(W30="","",VLOOKUP(Q30,V28:Y31,2,FALSE))</f>
      </c>
      <c r="S30" s="160">
        <f>IF(X30="","",VLOOKUP(Q30,V28:Y31,3,FALSE))</f>
      </c>
      <c r="T30" s="161">
        <f>IF($Y$4="","",VLOOKUP(Q30,V28:Y31,4,FALSE))</f>
      </c>
      <c r="V30" t="str">
        <f>E29</f>
        <v>Serbie</v>
      </c>
      <c r="W30">
        <f>IF(F29="","",SUM(D29,J30,J33))</f>
      </c>
      <c r="X30">
        <f>IF(F29="","",SUM(F29-G29+G30-F30+G33-F33))</f>
      </c>
      <c r="Y30">
        <f>IF(F29="","",SUM(F29,G30,G33))</f>
      </c>
      <c r="AH30" t="str">
        <f>IF(DR30=TRUE,V30,DP30)</f>
        <v>Serbie</v>
      </c>
      <c r="AI30">
        <f t="shared" si="98"/>
      </c>
      <c r="AJ30">
        <f t="shared" si="99"/>
        <v>1</v>
      </c>
      <c r="AK30">
        <f t="shared" si="100"/>
        <v>1</v>
      </c>
      <c r="AL30">
        <f t="shared" si="101"/>
      </c>
      <c r="AN30">
        <f t="shared" si="102"/>
      </c>
      <c r="AO30">
        <f t="shared" si="103"/>
        <v>1</v>
      </c>
      <c r="AP30">
        <f t="shared" si="104"/>
        <v>1</v>
      </c>
      <c r="AQ30">
        <f t="shared" si="105"/>
      </c>
      <c r="AR30" t="str">
        <f>V30</f>
        <v>Serbie</v>
      </c>
      <c r="AS30">
        <f>IF(W30="","",RANK(W30,W28:W31))</f>
      </c>
      <c r="AT30">
        <f>IF(X30="","",RANK(X30,X28:X31))</f>
      </c>
      <c r="AU30">
        <f>IF(Y30="","",RANK(Y30,Y28:Y31))</f>
      </c>
      <c r="AV30" t="str">
        <f>AR30</f>
        <v>Serbie</v>
      </c>
      <c r="AW30">
        <f>IF(AS30="","",AX30)</f>
      </c>
      <c r="AX30">
        <f t="shared" si="21"/>
      </c>
      <c r="AY30">
        <f t="shared" si="22"/>
      </c>
      <c r="AZ30">
        <f t="shared" si="23"/>
      </c>
      <c r="BA30">
        <f t="shared" si="24"/>
      </c>
      <c r="BB30">
        <f t="shared" si="25"/>
      </c>
      <c r="BC30">
        <f t="shared" si="26"/>
      </c>
      <c r="BD30">
        <f t="shared" si="27"/>
      </c>
      <c r="BE30">
        <f t="shared" si="28"/>
      </c>
      <c r="BF30">
        <f t="shared" si="29"/>
      </c>
      <c r="BG30">
        <f t="shared" si="30"/>
      </c>
      <c r="BH30">
        <f t="shared" si="31"/>
      </c>
      <c r="BI30">
        <f t="shared" si="32"/>
      </c>
      <c r="BJ30">
        <f t="shared" si="33"/>
      </c>
      <c r="BK30">
        <f t="shared" si="34"/>
      </c>
      <c r="BL30">
        <f t="shared" si="35"/>
      </c>
      <c r="BM30">
        <f t="shared" si="36"/>
      </c>
      <c r="BN30">
        <f t="shared" si="37"/>
      </c>
      <c r="BO30">
        <f t="shared" si="38"/>
      </c>
      <c r="BP30">
        <f t="shared" si="39"/>
      </c>
      <c r="BQ30">
        <f t="shared" si="40"/>
      </c>
      <c r="BR30">
        <f t="shared" si="41"/>
      </c>
      <c r="BS30">
        <f t="shared" si="42"/>
      </c>
      <c r="BT30">
        <f t="shared" si="43"/>
      </c>
      <c r="BU30">
        <f t="shared" si="44"/>
      </c>
      <c r="BV30">
        <f t="shared" si="45"/>
      </c>
      <c r="BW30">
        <f t="shared" si="46"/>
      </c>
      <c r="BX30">
        <f t="shared" si="47"/>
      </c>
      <c r="BY30">
        <f t="shared" si="48"/>
      </c>
      <c r="BZ30">
        <f t="shared" si="49"/>
      </c>
      <c r="CA30">
        <f t="shared" si="50"/>
      </c>
      <c r="CB30">
        <f t="shared" si="51"/>
      </c>
      <c r="CC30">
        <f t="shared" si="52"/>
      </c>
      <c r="CD30">
        <f t="shared" si="53"/>
      </c>
      <c r="CE30">
        <f t="shared" si="54"/>
      </c>
      <c r="CF30">
        <f t="shared" si="55"/>
      </c>
      <c r="CG30">
        <f t="shared" si="56"/>
      </c>
      <c r="CH30">
        <f t="shared" si="57"/>
      </c>
      <c r="CI30">
        <f t="shared" si="58"/>
      </c>
      <c r="CJ30">
        <f t="shared" si="59"/>
      </c>
      <c r="CK30">
        <f t="shared" si="60"/>
      </c>
      <c r="CL30">
        <f t="shared" si="61"/>
      </c>
      <c r="CM30">
        <f t="shared" si="62"/>
      </c>
      <c r="CN30">
        <f t="shared" si="63"/>
      </c>
      <c r="CO30">
        <f t="shared" si="64"/>
      </c>
      <c r="CP30">
        <f t="shared" si="65"/>
      </c>
      <c r="CQ30">
        <f t="shared" si="66"/>
      </c>
      <c r="CR30">
        <f t="shared" si="67"/>
      </c>
      <c r="CS30">
        <f t="shared" si="68"/>
      </c>
      <c r="CT30">
        <f t="shared" si="69"/>
      </c>
      <c r="CU30">
        <f t="shared" si="70"/>
      </c>
      <c r="CV30">
        <f t="shared" si="71"/>
      </c>
      <c r="CW30">
        <f t="shared" si="72"/>
      </c>
      <c r="CX30">
        <f t="shared" si="73"/>
      </c>
      <c r="CY30">
        <f t="shared" si="74"/>
      </c>
      <c r="CZ30">
        <f t="shared" si="75"/>
      </c>
      <c r="DA30">
        <f t="shared" si="76"/>
      </c>
      <c r="DB30">
        <f t="shared" si="77"/>
      </c>
      <c r="DC30">
        <f t="shared" si="78"/>
      </c>
      <c r="DD30">
        <f t="shared" si="79"/>
      </c>
      <c r="DE30">
        <f t="shared" si="80"/>
      </c>
      <c r="DF30">
        <f t="shared" si="81"/>
      </c>
      <c r="DG30">
        <f t="shared" si="82"/>
      </c>
      <c r="DH30">
        <f t="shared" si="83"/>
      </c>
      <c r="DI30">
        <f t="shared" si="84"/>
      </c>
      <c r="DK30" t="str">
        <f>AV30</f>
        <v>Serbie</v>
      </c>
      <c r="DL30">
        <f>IF(AW30="",0,RANK(AW30,AW28:AW31,1))</f>
        <v>0</v>
      </c>
      <c r="DM30">
        <f t="shared" si="95"/>
      </c>
      <c r="DN30" t="str">
        <f>DK30</f>
        <v>Serbie</v>
      </c>
      <c r="DO30">
        <v>3</v>
      </c>
      <c r="DP30" t="e">
        <f>VLOOKUP(DO30,DL28:DN31,3,FALSE)</f>
        <v>#N/A</v>
      </c>
      <c r="DQ30" t="e">
        <f>VLOOKUP(DP30,DK28:DL31,2,FALSE)</f>
        <v>#N/A</v>
      </c>
      <c r="DR30" t="b">
        <f>ISERROR(DP30)</f>
        <v>1</v>
      </c>
      <c r="DS30" t="str">
        <f>DX30</f>
        <v>Serbie</v>
      </c>
      <c r="DT30">
        <f>IF(DL30=1,DK30,"")</f>
      </c>
      <c r="DW30">
        <f>IF(DL30=2,2,"")</f>
      </c>
      <c r="DX30" t="str">
        <f>IF(DW32="2p2",DY33,EH30)</f>
        <v>Serbie</v>
      </c>
      <c r="EC30">
        <f>IF(ED30="","",3)</f>
      </c>
      <c r="ED30">
        <f>IF(DL30=2,DK30,"")</f>
      </c>
      <c r="EH30" t="str">
        <f>IF(EC32="3p2",EE32,EN30)</f>
        <v>Serbie</v>
      </c>
      <c r="EI30">
        <f>IF(EJ30="","",3)</f>
      </c>
      <c r="EJ30">
        <f>IF(DL30=1,DK30,"")</f>
      </c>
      <c r="EN30" t="str">
        <f>IF(EI32="3p1",EL32,EP30)</f>
        <v>Serbie</v>
      </c>
      <c r="EP30" t="str">
        <f>IF(EO32="4p1",DK30,ER30)</f>
        <v>Serbie</v>
      </c>
      <c r="EQ30">
        <f>IF(DL30=3,3,"")</f>
      </c>
      <c r="ER30" t="str">
        <f>IF(EQ32="2p3",ES32,AH30)</f>
        <v>Serbie</v>
      </c>
      <c r="FB30" s="210">
        <v>51</v>
      </c>
      <c r="FC30" s="1" t="s">
        <v>115</v>
      </c>
      <c r="FD30" s="222">
        <f>IF(Q32="","",IF(N28="Tirage",IF(R32="","",R32),Q32))</f>
      </c>
      <c r="FE30" s="237"/>
      <c r="FF30" s="238"/>
      <c r="FG30" s="214"/>
      <c r="FH30" s="210"/>
      <c r="FI30" s="210"/>
      <c r="FJ30" s="210"/>
      <c r="FK30" s="210"/>
      <c r="FL30" s="7"/>
      <c r="FM30" s="212"/>
      <c r="FN30" s="210"/>
      <c r="FO30" s="210"/>
      <c r="FP30" s="210"/>
      <c r="FQ30" s="210"/>
      <c r="FR30" s="7"/>
      <c r="FS30" s="212"/>
      <c r="FT30" s="210"/>
      <c r="FU30" s="210"/>
      <c r="FV30" s="229" t="s">
        <v>141</v>
      </c>
      <c r="FW30" s="210"/>
      <c r="FX30" s="7"/>
      <c r="FY30" s="210"/>
    </row>
    <row r="31" spans="1:181" ht="15">
      <c r="A31" s="62" t="s">
        <v>59</v>
      </c>
      <c r="B31" s="66" t="s">
        <v>19</v>
      </c>
      <c r="C31" s="2">
        <v>24</v>
      </c>
      <c r="D31" s="4">
        <f t="shared" si="96"/>
      </c>
      <c r="E31" s="89" t="str">
        <f>VLOOKUP(A31,Tirage!$D$1:$F$40,3,FALSE)</f>
        <v>Ghana</v>
      </c>
      <c r="F31" s="243"/>
      <c r="G31" s="243"/>
      <c r="H31" s="305" t="str">
        <f>VLOOKUP(B31,Tirage!$D$1:$F$40,3,FALSE)</f>
        <v>Australie</v>
      </c>
      <c r="I31" s="302"/>
      <c r="J31" s="4">
        <f t="shared" si="97"/>
      </c>
      <c r="K31" s="198">
        <v>39983</v>
      </c>
      <c r="L31" s="199" t="s">
        <v>104</v>
      </c>
      <c r="M31" s="200">
        <v>0.6666666666666666</v>
      </c>
      <c r="N31" s="260">
        <f>IF(AND(OR(EO32="4P1",EC32="3P2"),AG33=1),"Tirage",4)</f>
        <v>4</v>
      </c>
      <c r="O31" s="11"/>
      <c r="P31" s="11"/>
      <c r="Q31" s="23" t="str">
        <f>DS31</f>
        <v>Ghana</v>
      </c>
      <c r="R31" s="162">
        <f>IF(W31="","",VLOOKUP(Q31,V28:Y31,2,FALSE))</f>
      </c>
      <c r="S31" s="162">
        <f>IF(X31="","",VLOOKUP(Q31,V28:Y31,3,FALSE))</f>
      </c>
      <c r="T31" s="163">
        <f>IF($Y$4="","",VLOOKUP(Q31,V28:Y31,4,FALSE))</f>
      </c>
      <c r="V31" t="str">
        <f>H29</f>
        <v>Ghana</v>
      </c>
      <c r="W31">
        <f>IF(F29="","",SUM(J29,D31,D32))</f>
      </c>
      <c r="X31">
        <f>IF(F29="","",SUM(G29-F29+F31-G31+F32-G32))</f>
      </c>
      <c r="Y31">
        <f>IF(F29="","",SUM(G29,F31,F32))</f>
      </c>
      <c r="AH31" t="str">
        <f>IF(DR31=TRUE,V31,DP31)</f>
        <v>Ghana</v>
      </c>
      <c r="AI31">
        <f t="shared" si="98"/>
      </c>
      <c r="AJ31">
        <f t="shared" si="99"/>
        <v>1</v>
      </c>
      <c r="AK31">
        <f t="shared" si="100"/>
        <v>1</v>
      </c>
      <c r="AL31">
        <f t="shared" si="101"/>
      </c>
      <c r="AN31">
        <f t="shared" si="102"/>
      </c>
      <c r="AO31">
        <f t="shared" si="103"/>
        <v>1</v>
      </c>
      <c r="AP31">
        <f t="shared" si="104"/>
        <v>1</v>
      </c>
      <c r="AQ31">
        <f t="shared" si="105"/>
      </c>
      <c r="AR31" t="str">
        <f>V31</f>
        <v>Ghana</v>
      </c>
      <c r="AS31">
        <f>IF(W31="","",RANK(W31,W28:W31))</f>
      </c>
      <c r="AT31">
        <f>IF(X31="","",RANK(X31,X28:X31))</f>
      </c>
      <c r="AU31">
        <f>IF(Y31="","",RANK(Y31,$Y$28:$Y$31))</f>
      </c>
      <c r="AV31" t="str">
        <f>AR31</f>
        <v>Ghana</v>
      </c>
      <c r="AW31">
        <f>IF(AS31="","",AX31)</f>
      </c>
      <c r="AX31">
        <f t="shared" si="21"/>
      </c>
      <c r="AY31">
        <f t="shared" si="22"/>
      </c>
      <c r="AZ31">
        <f t="shared" si="23"/>
      </c>
      <c r="BA31">
        <f t="shared" si="24"/>
      </c>
      <c r="BB31">
        <f t="shared" si="25"/>
      </c>
      <c r="BC31">
        <f t="shared" si="26"/>
      </c>
      <c r="BD31">
        <f t="shared" si="27"/>
      </c>
      <c r="BE31">
        <f t="shared" si="28"/>
      </c>
      <c r="BF31">
        <f t="shared" si="29"/>
      </c>
      <c r="BG31">
        <f t="shared" si="30"/>
      </c>
      <c r="BH31">
        <f t="shared" si="31"/>
      </c>
      <c r="BI31">
        <f t="shared" si="32"/>
      </c>
      <c r="BJ31">
        <f t="shared" si="33"/>
      </c>
      <c r="BK31">
        <f t="shared" si="34"/>
      </c>
      <c r="BL31">
        <f t="shared" si="35"/>
      </c>
      <c r="BM31">
        <f t="shared" si="36"/>
      </c>
      <c r="BN31">
        <f t="shared" si="37"/>
      </c>
      <c r="BO31">
        <f t="shared" si="38"/>
      </c>
      <c r="BP31">
        <f t="shared" si="39"/>
      </c>
      <c r="BQ31">
        <f t="shared" si="40"/>
      </c>
      <c r="BR31">
        <f t="shared" si="41"/>
      </c>
      <c r="BS31">
        <f t="shared" si="42"/>
      </c>
      <c r="BT31">
        <f t="shared" si="43"/>
      </c>
      <c r="BU31">
        <f t="shared" si="44"/>
      </c>
      <c r="BV31">
        <f t="shared" si="45"/>
      </c>
      <c r="BW31">
        <f t="shared" si="46"/>
      </c>
      <c r="BX31">
        <f t="shared" si="47"/>
      </c>
      <c r="BY31">
        <f t="shared" si="48"/>
      </c>
      <c r="BZ31">
        <f t="shared" si="49"/>
      </c>
      <c r="CA31">
        <f t="shared" si="50"/>
      </c>
      <c r="CB31">
        <f t="shared" si="51"/>
      </c>
      <c r="CC31">
        <f t="shared" si="52"/>
      </c>
      <c r="CD31">
        <f t="shared" si="53"/>
      </c>
      <c r="CE31">
        <f t="shared" si="54"/>
      </c>
      <c r="CF31">
        <f t="shared" si="55"/>
      </c>
      <c r="CG31">
        <f t="shared" si="56"/>
      </c>
      <c r="CH31">
        <f t="shared" si="57"/>
      </c>
      <c r="CI31">
        <f t="shared" si="58"/>
      </c>
      <c r="CJ31">
        <f t="shared" si="59"/>
      </c>
      <c r="CK31">
        <f t="shared" si="60"/>
      </c>
      <c r="CL31">
        <f t="shared" si="61"/>
      </c>
      <c r="CM31">
        <f t="shared" si="62"/>
      </c>
      <c r="CN31">
        <f t="shared" si="63"/>
      </c>
      <c r="CO31">
        <f t="shared" si="64"/>
      </c>
      <c r="CP31">
        <f t="shared" si="65"/>
      </c>
      <c r="CQ31">
        <f t="shared" si="66"/>
      </c>
      <c r="CR31">
        <f t="shared" si="67"/>
      </c>
      <c r="CS31">
        <f t="shared" si="68"/>
      </c>
      <c r="CT31">
        <f t="shared" si="69"/>
      </c>
      <c r="CU31">
        <f t="shared" si="70"/>
      </c>
      <c r="CV31">
        <f t="shared" si="71"/>
      </c>
      <c r="CW31">
        <f t="shared" si="72"/>
      </c>
      <c r="CX31">
        <f t="shared" si="73"/>
      </c>
      <c r="CY31">
        <f t="shared" si="74"/>
      </c>
      <c r="CZ31">
        <f t="shared" si="75"/>
      </c>
      <c r="DA31">
        <f t="shared" si="76"/>
      </c>
      <c r="DB31">
        <f t="shared" si="77"/>
      </c>
      <c r="DC31">
        <f t="shared" si="78"/>
      </c>
      <c r="DD31">
        <f t="shared" si="79"/>
      </c>
      <c r="DE31">
        <f t="shared" si="80"/>
      </c>
      <c r="DF31">
        <f t="shared" si="81"/>
      </c>
      <c r="DG31">
        <f t="shared" si="82"/>
      </c>
      <c r="DH31">
        <f t="shared" si="83"/>
      </c>
      <c r="DI31">
        <f t="shared" si="84"/>
      </c>
      <c r="DK31" t="str">
        <f>AV31</f>
        <v>Ghana</v>
      </c>
      <c r="DL31">
        <f>IF(AW31="",0,RANK(AW31,AW28:AW31,1))</f>
        <v>0</v>
      </c>
      <c r="DM31">
        <f t="shared" si="95"/>
      </c>
      <c r="DN31" t="str">
        <f>DK31</f>
        <v>Ghana</v>
      </c>
      <c r="DO31">
        <v>4</v>
      </c>
      <c r="DP31" t="e">
        <f>VLOOKUP(DO31,DL28:DN31,3,FALSE)</f>
        <v>#N/A</v>
      </c>
      <c r="DQ31" t="e">
        <f>VLOOKUP(DP31,DK28:DL31,2,FALSE)</f>
        <v>#N/A</v>
      </c>
      <c r="DR31" t="b">
        <f>ISERROR(DP31)</f>
        <v>1</v>
      </c>
      <c r="DS31" t="str">
        <f>EH31</f>
        <v>Ghana</v>
      </c>
      <c r="DT31">
        <f>IF(DL31=1,DK31,"")</f>
      </c>
      <c r="DW31">
        <f>IF(DL31=2,2,"")</f>
      </c>
      <c r="EC31">
        <f>IF(ED31="","",4)</f>
      </c>
      <c r="ED31">
        <f>IF(DL31=2,DK31,"")</f>
      </c>
      <c r="EH31" t="str">
        <f>IF(EC32="3p2",EF32,EP31)</f>
        <v>Ghana</v>
      </c>
      <c r="EI31">
        <f>IF(EJ31="","",4)</f>
      </c>
      <c r="EJ31">
        <f>IF(DL31=1,DK31,"")</f>
      </c>
      <c r="EP31" t="str">
        <f>IF(EO32="4p1",DK31,ER31)</f>
        <v>Ghana</v>
      </c>
      <c r="EQ31">
        <f>IF(DL31=3,3,"")</f>
      </c>
      <c r="ER31" t="str">
        <f>IF(EQ32="2p3",ES33,AH31)</f>
        <v>Ghana</v>
      </c>
      <c r="FB31" s="210"/>
      <c r="FC31" s="217" t="s">
        <v>114</v>
      </c>
      <c r="FD31" s="223">
        <f>IF(Q25="","",IF(N21="Tirage",IF(R25="","",R25),Q25))</f>
      </c>
      <c r="FE31" s="239"/>
      <c r="FF31" s="240"/>
      <c r="FG31" s="210"/>
      <c r="FH31" s="210"/>
      <c r="FI31" s="210"/>
      <c r="FJ31" s="210"/>
      <c r="FK31" s="210"/>
      <c r="FL31" s="7"/>
      <c r="FM31" s="212"/>
      <c r="FN31" s="210"/>
      <c r="FO31" s="210"/>
      <c r="FP31" s="245">
        <v>40001</v>
      </c>
      <c r="FQ31" s="219" t="s">
        <v>126</v>
      </c>
      <c r="FR31" s="220" t="s">
        <v>125</v>
      </c>
      <c r="FS31" s="212"/>
      <c r="FT31" s="210"/>
      <c r="FU31" s="210"/>
      <c r="FV31" s="245">
        <v>40004</v>
      </c>
      <c r="FW31" s="219" t="s">
        <v>126</v>
      </c>
      <c r="FX31" s="220" t="s">
        <v>125</v>
      </c>
      <c r="FY31" s="210"/>
    </row>
    <row r="32" spans="1:181" ht="15.75">
      <c r="A32" s="62" t="s">
        <v>59</v>
      </c>
      <c r="B32" s="66" t="s">
        <v>18</v>
      </c>
      <c r="C32" s="2">
        <v>39</v>
      </c>
      <c r="D32" s="4">
        <f t="shared" si="96"/>
      </c>
      <c r="E32" s="89" t="str">
        <f>VLOOKUP(A32,Tirage!$D$1:$F$40,3,FALSE)</f>
        <v>Ghana</v>
      </c>
      <c r="F32" s="243"/>
      <c r="G32" s="243"/>
      <c r="H32" s="305" t="str">
        <f>VLOOKUP(B32,Tirage!$D$1:$F$40,3,FALSE)</f>
        <v>Allemagne</v>
      </c>
      <c r="I32" s="302"/>
      <c r="J32" s="4">
        <f t="shared" si="97"/>
      </c>
      <c r="K32" s="198">
        <v>39987</v>
      </c>
      <c r="L32" s="204" t="s">
        <v>100</v>
      </c>
      <c r="M32" s="200">
        <v>0.8541666666666666</v>
      </c>
      <c r="N32" s="261" t="s">
        <v>115</v>
      </c>
      <c r="O32" s="69"/>
      <c r="P32" s="36"/>
      <c r="Q32" s="291">
        <f>IF(N28="Tirage","Résultat tirage:",AH32)</f>
      </c>
      <c r="R32" s="296"/>
      <c r="S32" s="296"/>
      <c r="T32" s="296"/>
      <c r="AH32">
        <f>IF(G33="","",AH28)</f>
      </c>
      <c r="AI32">
        <f t="shared" si="98"/>
      </c>
      <c r="AJ32">
        <f t="shared" si="99"/>
        <v>1</v>
      </c>
      <c r="AK32">
        <f t="shared" si="100"/>
        <v>1</v>
      </c>
      <c r="AL32">
        <f t="shared" si="101"/>
      </c>
      <c r="AN32">
        <f t="shared" si="102"/>
      </c>
      <c r="AO32">
        <f t="shared" si="103"/>
        <v>1</v>
      </c>
      <c r="AP32">
        <f t="shared" si="104"/>
        <v>1</v>
      </c>
      <c r="AQ32">
        <f t="shared" si="105"/>
      </c>
      <c r="DM32">
        <f>IF(SUM(DM28:DM31)=2,"2P1","")</f>
      </c>
      <c r="DO32">
        <f>IF(DT28="",DP32,DT28)</f>
      </c>
      <c r="DP32">
        <f>IF(DT29="",DQ32,DT29)</f>
      </c>
      <c r="DQ32">
        <f>IF(DT30="",DR32,DT30)</f>
      </c>
      <c r="DR32">
        <f>IF(DT31="","",DT31)</f>
      </c>
      <c r="DW32">
        <f>IF(SUM(DW28:DW31)=4,"2P2","")</f>
      </c>
      <c r="DY32">
        <f>IF(ED28="",DZ32,ED28)</f>
      </c>
      <c r="DZ32">
        <f>IF(ED29="",EA32,ED29)</f>
      </c>
      <c r="EA32">
        <f>IF(ED30="",EB32,ED30)</f>
      </c>
      <c r="EB32">
        <f>IF(ED31="","",ED31)</f>
      </c>
      <c r="EC32">
        <f>IF(SUM(DW28:DW31)=6,"3P2","")</f>
      </c>
      <c r="ED32">
        <f>IF(EC28=1,ED28,EE32)</f>
      </c>
      <c r="EE32">
        <f>IF(EC29=2,ED29,EF32)</f>
      </c>
      <c r="EF32">
        <f>IF(EC30=3,ED30,EG32)</f>
      </c>
      <c r="EG32">
        <f>IF(EC31=4,ED31,"")</f>
      </c>
      <c r="EI32">
        <f>IF(SUM(DM28:DM31)=3,"3P1","")</f>
      </c>
      <c r="EJ32">
        <f>IF(EI28=1,EJ28,EK32)</f>
      </c>
      <c r="EK32">
        <f>IF(EI29=2,EJ29,EL32)</f>
      </c>
      <c r="EL32">
        <f>IF(EI30=3,EJ30,EM32)</f>
      </c>
      <c r="EM32">
        <f>IF(EI31=4,EJ31,"")</f>
      </c>
      <c r="EO32">
        <f>IF(SUM(DM28:DM31)=4,"4P1","")</f>
      </c>
      <c r="EQ32">
        <f>IF(SUM(EQ28:EQ31)=6,"2P3","")</f>
      </c>
      <c r="FB32" s="210"/>
      <c r="FC32" s="7"/>
      <c r="FD32" s="210"/>
      <c r="FE32" s="7"/>
      <c r="FF32" s="7"/>
      <c r="FG32" s="210"/>
      <c r="FH32" s="210"/>
      <c r="FI32" s="210"/>
      <c r="FJ32" s="210"/>
      <c r="FK32" s="210"/>
      <c r="FL32" s="7"/>
      <c r="FM32" s="212"/>
      <c r="FN32" s="214">
        <v>62</v>
      </c>
      <c r="FO32" s="206"/>
      <c r="FP32" s="225">
        <f>IF((OR(FK28="",FK29="",AND(FK28=FK29,OR(FL28="",FL29="")))),"",(IF((FK28+FL28)&gt;(FK29+FL29),FJ28,FJ29)))</f>
      </c>
      <c r="FQ32" s="287"/>
      <c r="FR32" s="234"/>
      <c r="FS32" s="214"/>
      <c r="FT32" s="210">
        <v>63</v>
      </c>
      <c r="FU32" s="360">
        <f>IF((OR(FQ14="",FQ15="",AND(FQ14=FQ15,OR(FR14="",FR15="")))),"",(IF((FQ14+FR14)&lt;(FQ15+FR15),FP14,FP15)))</f>
      </c>
      <c r="FV32" s="361"/>
      <c r="FW32" s="289"/>
      <c r="FX32" s="234"/>
      <c r="FY32" s="210"/>
    </row>
    <row r="33" spans="1:181" ht="15.75">
      <c r="A33" s="63" t="s">
        <v>19</v>
      </c>
      <c r="B33" s="63" t="s">
        <v>57</v>
      </c>
      <c r="C33" s="5">
        <v>40</v>
      </c>
      <c r="D33" s="6">
        <f t="shared" si="96"/>
      </c>
      <c r="E33" s="90" t="str">
        <f>VLOOKUP(A33,Tirage!$D$1:$F$40,3,FALSE)</f>
        <v>Australie</v>
      </c>
      <c r="F33" s="244"/>
      <c r="G33" s="244"/>
      <c r="H33" s="351" t="str">
        <f>VLOOKUP(B33,Tirage!$D$1:$F$40,3,FALSE)</f>
        <v>Serbie</v>
      </c>
      <c r="I33" s="300"/>
      <c r="J33" s="6">
        <f t="shared" si="97"/>
      </c>
      <c r="K33" s="201">
        <v>39987</v>
      </c>
      <c r="L33" s="202" t="s">
        <v>108</v>
      </c>
      <c r="M33" s="203">
        <v>0.8541666666666666</v>
      </c>
      <c r="N33" s="262" t="s">
        <v>116</v>
      </c>
      <c r="O33" s="109"/>
      <c r="P33" s="37"/>
      <c r="Q33" s="292">
        <f>IF(N29="Tirage","Résultat tirage:",AH33)</f>
      </c>
      <c r="R33" s="307"/>
      <c r="S33" s="307"/>
      <c r="T33" s="307"/>
      <c r="AG33">
        <f>IF(J33="","",1)</f>
      </c>
      <c r="AH33">
        <f>IF(G33="","",AH29)</f>
      </c>
      <c r="AI33">
        <f t="shared" si="98"/>
      </c>
      <c r="AJ33">
        <f t="shared" si="99"/>
        <v>1</v>
      </c>
      <c r="AK33">
        <f t="shared" si="100"/>
        <v>1</v>
      </c>
      <c r="AL33">
        <f t="shared" si="101"/>
      </c>
      <c r="AN33">
        <f t="shared" si="102"/>
      </c>
      <c r="AO33">
        <f t="shared" si="103"/>
        <v>1</v>
      </c>
      <c r="AP33">
        <f t="shared" si="104"/>
        <v>1</v>
      </c>
      <c r="AQ33">
        <f t="shared" si="105"/>
      </c>
      <c r="DO33">
        <f>IF(DT31="",DP33,DT31)</f>
      </c>
      <c r="DP33">
        <f>IF(DT30="",DQ33,DT30)</f>
      </c>
      <c r="DQ33">
        <f>IF(DT29="",DR33,DT29)</f>
      </c>
      <c r="DR33">
        <f>IF(DT28="","",DT28)</f>
      </c>
      <c r="DY33">
        <f>IF(ED31="",DZ33,ED31)</f>
      </c>
      <c r="DZ33">
        <f>IF(ED30="",EA33,ED30)</f>
      </c>
      <c r="EA33">
        <f>IF(ED29="",EB33,ED29)</f>
      </c>
      <c r="EB33">
        <f>IF(ED28="","",ED28)</f>
      </c>
      <c r="FB33" s="210"/>
      <c r="FC33" s="7"/>
      <c r="FD33" s="245">
        <v>39993</v>
      </c>
      <c r="FE33" s="219" t="s">
        <v>126</v>
      </c>
      <c r="FF33" s="220" t="s">
        <v>125</v>
      </c>
      <c r="FG33" s="210"/>
      <c r="FH33" s="210"/>
      <c r="FI33" s="210"/>
      <c r="FJ33" s="210"/>
      <c r="FK33" s="210"/>
      <c r="FL33" s="7"/>
      <c r="FM33" s="212"/>
      <c r="FN33" s="210"/>
      <c r="FO33" s="208"/>
      <c r="FP33" s="226">
        <f>IF((OR(FK37="",FK38="",AND(FK37=FK38,OR(FL37="",FL38="")))),"",(IF((FK37+FL37)&gt;(FK38+FL38),FJ37,FJ38)))</f>
      </c>
      <c r="FQ33" s="239"/>
      <c r="FR33" s="235"/>
      <c r="FS33" s="210"/>
      <c r="FT33" s="210"/>
      <c r="FU33" s="362">
        <f>IF((OR(FQ32="",FQ33="",AND(FQ32=FQ33,OR(FR32="",FR33="")))),"",(IF((FQ32+FR32)&lt;(FQ33+FR33),FP32,FP33)))</f>
      </c>
      <c r="FV33" s="363"/>
      <c r="FW33" s="290"/>
      <c r="FX33" s="235"/>
      <c r="FY33" s="210"/>
    </row>
    <row r="34" spans="1:181" ht="15" hidden="1">
      <c r="A34" s="62"/>
      <c r="B34" s="62"/>
      <c r="C34" s="72"/>
      <c r="D34" s="54"/>
      <c r="E34" s="99"/>
      <c r="F34" s="100"/>
      <c r="G34" s="100"/>
      <c r="H34" s="100"/>
      <c r="I34" s="99"/>
      <c r="J34" s="54"/>
      <c r="K34" s="188"/>
      <c r="L34" s="73"/>
      <c r="M34" s="14"/>
      <c r="N34" s="67"/>
      <c r="O34" s="79"/>
      <c r="P34" s="79"/>
      <c r="Q34" s="75"/>
      <c r="R34" s="76"/>
      <c r="S34" s="76"/>
      <c r="T34" s="76"/>
      <c r="AX34">
        <v>111</v>
      </c>
      <c r="AY34">
        <v>112</v>
      </c>
      <c r="AZ34">
        <v>113</v>
      </c>
      <c r="BA34">
        <v>114</v>
      </c>
      <c r="BB34">
        <v>121</v>
      </c>
      <c r="BC34">
        <v>122</v>
      </c>
      <c r="BD34">
        <v>123</v>
      </c>
      <c r="BE34">
        <v>124</v>
      </c>
      <c r="BF34">
        <v>131</v>
      </c>
      <c r="BG34">
        <v>132</v>
      </c>
      <c r="BH34">
        <v>133</v>
      </c>
      <c r="BI34">
        <v>134</v>
      </c>
      <c r="BJ34">
        <v>141</v>
      </c>
      <c r="BK34">
        <v>142</v>
      </c>
      <c r="BL34">
        <v>143</v>
      </c>
      <c r="BM34">
        <v>144</v>
      </c>
      <c r="BN34">
        <v>211</v>
      </c>
      <c r="BO34">
        <v>212</v>
      </c>
      <c r="BP34">
        <v>213</v>
      </c>
      <c r="BQ34">
        <v>214</v>
      </c>
      <c r="BR34">
        <v>221</v>
      </c>
      <c r="BS34">
        <v>222</v>
      </c>
      <c r="BT34">
        <v>223</v>
      </c>
      <c r="BU34">
        <v>224</v>
      </c>
      <c r="BV34">
        <v>231</v>
      </c>
      <c r="BW34">
        <v>232</v>
      </c>
      <c r="BX34">
        <v>233</v>
      </c>
      <c r="BY34">
        <v>234</v>
      </c>
      <c r="BZ34">
        <v>241</v>
      </c>
      <c r="CA34">
        <v>242</v>
      </c>
      <c r="CB34">
        <v>243</v>
      </c>
      <c r="CC34">
        <v>244</v>
      </c>
      <c r="CD34">
        <v>311</v>
      </c>
      <c r="CE34">
        <v>312</v>
      </c>
      <c r="CF34">
        <v>313</v>
      </c>
      <c r="CG34">
        <v>314</v>
      </c>
      <c r="CH34">
        <v>321</v>
      </c>
      <c r="CI34">
        <v>322</v>
      </c>
      <c r="CJ34">
        <v>323</v>
      </c>
      <c r="CK34">
        <v>324</v>
      </c>
      <c r="CL34">
        <v>331</v>
      </c>
      <c r="CM34">
        <v>332</v>
      </c>
      <c r="CN34">
        <v>333</v>
      </c>
      <c r="CO34">
        <v>334</v>
      </c>
      <c r="CP34">
        <v>341</v>
      </c>
      <c r="CQ34">
        <v>342</v>
      </c>
      <c r="CR34">
        <v>343</v>
      </c>
      <c r="CS34">
        <v>344</v>
      </c>
      <c r="CT34">
        <v>411</v>
      </c>
      <c r="CU34">
        <v>412</v>
      </c>
      <c r="CV34">
        <v>413</v>
      </c>
      <c r="CW34">
        <v>414</v>
      </c>
      <c r="CX34">
        <v>421</v>
      </c>
      <c r="CY34">
        <v>422</v>
      </c>
      <c r="CZ34">
        <v>423</v>
      </c>
      <c r="DA34">
        <v>424</v>
      </c>
      <c r="DB34">
        <v>431</v>
      </c>
      <c r="DC34">
        <v>432</v>
      </c>
      <c r="DD34">
        <v>433</v>
      </c>
      <c r="DE34">
        <v>434</v>
      </c>
      <c r="DF34">
        <v>441</v>
      </c>
      <c r="DG34">
        <v>442</v>
      </c>
      <c r="DH34">
        <v>443</v>
      </c>
      <c r="DI34">
        <v>444</v>
      </c>
      <c r="DM34" t="s">
        <v>86</v>
      </c>
      <c r="DW34" t="s">
        <v>87</v>
      </c>
      <c r="EC34" t="s">
        <v>88</v>
      </c>
      <c r="EI34" t="s">
        <v>89</v>
      </c>
      <c r="EO34" t="s">
        <v>90</v>
      </c>
      <c r="EQ34" t="s">
        <v>91</v>
      </c>
      <c r="FB34" s="210"/>
      <c r="FC34" s="7"/>
      <c r="FD34" s="210"/>
      <c r="FE34" s="218"/>
      <c r="FF34" s="7"/>
      <c r="FG34" s="210"/>
      <c r="FH34" s="210"/>
      <c r="FI34" s="210"/>
      <c r="FJ34" s="210"/>
      <c r="FK34" s="210"/>
      <c r="FL34" s="7"/>
      <c r="FM34" s="212"/>
      <c r="FN34" s="210"/>
      <c r="FS34" s="210"/>
      <c r="FT34" s="210"/>
      <c r="FY34" s="210"/>
    </row>
    <row r="35" spans="1:181" ht="15">
      <c r="A35" s="101"/>
      <c r="B35" s="59"/>
      <c r="C35" s="108" t="s">
        <v>0</v>
      </c>
      <c r="D35" s="126" t="s">
        <v>83</v>
      </c>
      <c r="E35" s="339" t="s">
        <v>5</v>
      </c>
      <c r="F35" s="340"/>
      <c r="G35" s="340"/>
      <c r="H35" s="340"/>
      <c r="I35" s="341"/>
      <c r="J35" s="126" t="s">
        <v>83</v>
      </c>
      <c r="K35" s="192" t="s">
        <v>11</v>
      </c>
      <c r="L35" s="127" t="s">
        <v>12</v>
      </c>
      <c r="M35" s="128" t="s">
        <v>13</v>
      </c>
      <c r="N35" s="370" t="s">
        <v>135</v>
      </c>
      <c r="O35" s="371"/>
      <c r="P35" s="371"/>
      <c r="Q35" s="372"/>
      <c r="R35" s="129" t="s">
        <v>83</v>
      </c>
      <c r="S35" s="282" t="s">
        <v>84</v>
      </c>
      <c r="T35" s="129" t="s">
        <v>85</v>
      </c>
      <c r="W35" t="s">
        <v>83</v>
      </c>
      <c r="X35" t="s">
        <v>84</v>
      </c>
      <c r="Y35" t="s">
        <v>85</v>
      </c>
      <c r="AI35" t="s">
        <v>92</v>
      </c>
      <c r="AJ35" t="s">
        <v>93</v>
      </c>
      <c r="AK35" t="s">
        <v>94</v>
      </c>
      <c r="AL35" t="s">
        <v>95</v>
      </c>
      <c r="AN35" t="s">
        <v>92</v>
      </c>
      <c r="AO35" t="s">
        <v>93</v>
      </c>
      <c r="AP35" t="s">
        <v>94</v>
      </c>
      <c r="AQ35" t="s">
        <v>95</v>
      </c>
      <c r="AS35" t="s">
        <v>96</v>
      </c>
      <c r="AT35" t="s">
        <v>97</v>
      </c>
      <c r="AU35" t="s">
        <v>98</v>
      </c>
      <c r="FB35" s="210">
        <v>55</v>
      </c>
      <c r="FC35" s="1" t="s">
        <v>119</v>
      </c>
      <c r="FD35" s="222">
        <f>IF(Q48="","",IF(N44="Tirage",IF(R48="","",R48),Q48))</f>
      </c>
      <c r="FE35" s="237"/>
      <c r="FF35" s="238"/>
      <c r="FG35" s="210"/>
      <c r="FH35" s="210"/>
      <c r="FI35" s="210"/>
      <c r="FJ35" s="210"/>
      <c r="FK35" s="210"/>
      <c r="FL35" s="7"/>
      <c r="FM35" s="212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</row>
    <row r="36" spans="1:181" ht="15">
      <c r="A36" s="62" t="s">
        <v>20</v>
      </c>
      <c r="B36" s="66" t="s">
        <v>21</v>
      </c>
      <c r="C36" s="2">
        <v>9</v>
      </c>
      <c r="D36" s="3">
        <f aca="true" t="shared" si="106" ref="D36:D41">IF(F36="","",AI36)</f>
      </c>
      <c r="E36" s="91" t="str">
        <f>VLOOKUP(A36,Tirage!$D$1:$F$40,3,FALSE)</f>
        <v>Pays-Bas</v>
      </c>
      <c r="F36" s="243"/>
      <c r="G36" s="243"/>
      <c r="H36" s="293" t="str">
        <f>VLOOKUP(B36,Tirage!$D$1:$F$40,3,FALSE)</f>
        <v>Danemark</v>
      </c>
      <c r="I36" s="302"/>
      <c r="J36" s="3">
        <f aca="true" t="shared" si="107" ref="J36:J41">IF(F36="","",AO36)</f>
      </c>
      <c r="K36" s="198">
        <v>39978</v>
      </c>
      <c r="L36" s="204" t="s">
        <v>100</v>
      </c>
      <c r="M36" s="200">
        <v>0.5625</v>
      </c>
      <c r="N36" s="263">
        <f>IF(AND(OR(DM40="2P1",EI40="3P1",EO40="4P1"),AG41=1),"Tirage",1)</f>
        <v>1</v>
      </c>
      <c r="O36" s="11"/>
      <c r="P36" s="11"/>
      <c r="Q36" s="24" t="str">
        <f>DS36</f>
        <v>Pays-Bas</v>
      </c>
      <c r="R36" s="164">
        <f>IF(W36="","",VLOOKUP(Q36,V36:Y39,2,FALSE))</f>
      </c>
      <c r="S36" s="164">
        <f>IF(X36="","",VLOOKUP(Q36,V36:Y39,3,FALSE))</f>
      </c>
      <c r="T36" s="165">
        <f>IF($Y$4="","",VLOOKUP(Q36,V36:Y39,4,FALSE))</f>
      </c>
      <c r="V36" t="str">
        <f>E36</f>
        <v>Pays-Bas</v>
      </c>
      <c r="W36">
        <f>IF(F36="","",SUM(D36,D38,J41))</f>
      </c>
      <c r="X36">
        <f>IF(F36="","",SUM((F36-G36)+(F38-G38)+(G41-F41)))</f>
      </c>
      <c r="Y36">
        <f>IF(F36="","",SUM(F36,F38,G41))</f>
      </c>
      <c r="AH36" t="str">
        <f>IF(DR36=TRUE,V36,DP36)</f>
        <v>Pays-Bas</v>
      </c>
      <c r="AI36">
        <f aca="true" t="shared" si="108" ref="AI36:AI41">IF(G36="","",AJ36)</f>
      </c>
      <c r="AJ36">
        <f aca="true" t="shared" si="109" ref="AJ36:AJ41">IF(F36&lt;G36,0,AK36)</f>
        <v>1</v>
      </c>
      <c r="AK36">
        <f aca="true" t="shared" si="110" ref="AK36:AK41">IF(F36=G36,1,AL36)</f>
        <v>1</v>
      </c>
      <c r="AL36">
        <f aca="true" t="shared" si="111" ref="AL36:AL41">IF(F36&gt;G36,3,"")</f>
      </c>
      <c r="AN36">
        <f aca="true" t="shared" si="112" ref="AN36:AN41">IF(G36="","",AO36)</f>
      </c>
      <c r="AO36">
        <f aca="true" t="shared" si="113" ref="AO36:AO41">IF(G36&lt;F36,0,AP36)</f>
        <v>1</v>
      </c>
      <c r="AP36">
        <f aca="true" t="shared" si="114" ref="AP36:AP41">IF(G36=F36,1,AQ36)</f>
        <v>1</v>
      </c>
      <c r="AQ36">
        <f aca="true" t="shared" si="115" ref="AQ36:AQ41">IF(G36&gt;F36,3,"")</f>
      </c>
      <c r="AR36" t="str">
        <f>V36</f>
        <v>Pays-Bas</v>
      </c>
      <c r="AS36">
        <f>IF(W36="","",RANK(W36,W36:W39))</f>
      </c>
      <c r="AT36">
        <f>IF(X36="","",RANK(X36,X36:X39))</f>
      </c>
      <c r="AU36">
        <f>IF(Y36="","",RANK(Y36,Y36:Y39))</f>
      </c>
      <c r="AV36" t="str">
        <f>AR36</f>
        <v>Pays-Bas</v>
      </c>
      <c r="AW36">
        <f>IF(AS36="","",AX36)</f>
      </c>
      <c r="AX36">
        <f t="shared" si="21"/>
      </c>
      <c r="AY36">
        <f t="shared" si="22"/>
      </c>
      <c r="AZ36">
        <f t="shared" si="23"/>
      </c>
      <c r="BA36">
        <f t="shared" si="24"/>
      </c>
      <c r="BB36">
        <f t="shared" si="25"/>
      </c>
      <c r="BC36">
        <f t="shared" si="26"/>
      </c>
      <c r="BD36">
        <f t="shared" si="27"/>
      </c>
      <c r="BE36">
        <f t="shared" si="28"/>
      </c>
      <c r="BF36">
        <f t="shared" si="29"/>
      </c>
      <c r="BG36">
        <f t="shared" si="30"/>
      </c>
      <c r="BH36">
        <f t="shared" si="31"/>
      </c>
      <c r="BI36">
        <f t="shared" si="32"/>
      </c>
      <c r="BJ36">
        <f t="shared" si="33"/>
      </c>
      <c r="BK36">
        <f t="shared" si="34"/>
      </c>
      <c r="BL36">
        <f t="shared" si="35"/>
      </c>
      <c r="BM36">
        <f t="shared" si="36"/>
      </c>
      <c r="BN36">
        <f t="shared" si="37"/>
      </c>
      <c r="BO36">
        <f t="shared" si="38"/>
      </c>
      <c r="BP36">
        <f t="shared" si="39"/>
      </c>
      <c r="BQ36">
        <f t="shared" si="40"/>
      </c>
      <c r="BR36">
        <f t="shared" si="41"/>
      </c>
      <c r="BS36">
        <f t="shared" si="42"/>
      </c>
      <c r="BT36">
        <f t="shared" si="43"/>
      </c>
      <c r="BU36">
        <f t="shared" si="44"/>
      </c>
      <c r="BV36">
        <f t="shared" si="45"/>
      </c>
      <c r="BW36">
        <f t="shared" si="46"/>
      </c>
      <c r="BX36">
        <f t="shared" si="47"/>
      </c>
      <c r="BY36">
        <f t="shared" si="48"/>
      </c>
      <c r="BZ36">
        <f t="shared" si="49"/>
      </c>
      <c r="CA36">
        <f t="shared" si="50"/>
      </c>
      <c r="CB36">
        <f t="shared" si="51"/>
      </c>
      <c r="CC36">
        <f t="shared" si="52"/>
      </c>
      <c r="CD36">
        <f t="shared" si="53"/>
      </c>
      <c r="CE36">
        <f t="shared" si="54"/>
      </c>
      <c r="CF36">
        <f t="shared" si="55"/>
      </c>
      <c r="CG36">
        <f t="shared" si="56"/>
      </c>
      <c r="CH36">
        <f t="shared" si="57"/>
      </c>
      <c r="CI36">
        <f t="shared" si="58"/>
      </c>
      <c r="CJ36">
        <f t="shared" si="59"/>
      </c>
      <c r="CK36">
        <f t="shared" si="60"/>
      </c>
      <c r="CL36">
        <f t="shared" si="61"/>
      </c>
      <c r="CM36">
        <f t="shared" si="62"/>
      </c>
      <c r="CN36">
        <f t="shared" si="63"/>
      </c>
      <c r="CO36">
        <f t="shared" si="64"/>
      </c>
      <c r="CP36">
        <f t="shared" si="65"/>
      </c>
      <c r="CQ36">
        <f t="shared" si="66"/>
      </c>
      <c r="CR36">
        <f t="shared" si="67"/>
      </c>
      <c r="CS36">
        <f t="shared" si="68"/>
      </c>
      <c r="CT36">
        <f t="shared" si="69"/>
      </c>
      <c r="CU36">
        <f t="shared" si="70"/>
      </c>
      <c r="CV36">
        <f t="shared" si="71"/>
      </c>
      <c r="CW36">
        <f t="shared" si="72"/>
      </c>
      <c r="CX36">
        <f t="shared" si="73"/>
      </c>
      <c r="CY36">
        <f t="shared" si="74"/>
      </c>
      <c r="CZ36">
        <f t="shared" si="75"/>
      </c>
      <c r="DA36">
        <f t="shared" si="76"/>
      </c>
      <c r="DB36">
        <f t="shared" si="77"/>
      </c>
      <c r="DC36">
        <f t="shared" si="78"/>
      </c>
      <c r="DD36">
        <f t="shared" si="79"/>
      </c>
      <c r="DE36">
        <f t="shared" si="80"/>
      </c>
      <c r="DF36">
        <f t="shared" si="81"/>
      </c>
      <c r="DG36">
        <f t="shared" si="82"/>
      </c>
      <c r="DH36">
        <f t="shared" si="83"/>
      </c>
      <c r="DI36">
        <f t="shared" si="84"/>
      </c>
      <c r="DK36" t="str">
        <f>AV36</f>
        <v>Pays-Bas</v>
      </c>
      <c r="DL36">
        <f>IF(AW36="",0,RANK(AW36,AW36:AW39,1))</f>
        <v>0</v>
      </c>
      <c r="DM36">
        <f t="shared" si="95"/>
      </c>
      <c r="DN36" t="str">
        <f>DK36</f>
        <v>Pays-Bas</v>
      </c>
      <c r="DO36">
        <v>1</v>
      </c>
      <c r="DP36" t="e">
        <f>VLOOKUP(DO36,DL36:DN39,3,FALSE)</f>
        <v>#N/A</v>
      </c>
      <c r="DQ36" t="e">
        <f>VLOOKUP(DP36,DK36:DL39,2,FALSE)</f>
        <v>#N/A</v>
      </c>
      <c r="DR36" t="b">
        <f>ISERROR(DP36)</f>
        <v>1</v>
      </c>
      <c r="DS36" t="str">
        <f>IF(DM40="2p1",DO40,EN36)</f>
        <v>Pays-Bas</v>
      </c>
      <c r="DT36">
        <f>IF(DL36=1,DK36,"")</f>
      </c>
      <c r="DW36">
        <f>IF(DL36=2,2,"")</f>
      </c>
      <c r="EC36">
        <f>IF(ED36="","",1)</f>
      </c>
      <c r="ED36">
        <f>IF(DL36=2,DK36,"")</f>
      </c>
      <c r="EI36">
        <f>IF(EJ36="","",1)</f>
      </c>
      <c r="EJ36">
        <f>IF(DL36=1,DK36,"")</f>
      </c>
      <c r="EN36" t="str">
        <f>IF(EI40="3p1",EJ40,EP36)</f>
        <v>Pays-Bas</v>
      </c>
      <c r="EP36" t="str">
        <f>IF(EO40="4p1",DK36,AH36)</f>
        <v>Pays-Bas</v>
      </c>
      <c r="EQ36">
        <f>IF(DL36=3,3,"")</f>
      </c>
      <c r="FB36" s="210"/>
      <c r="FC36" s="217" t="s">
        <v>118</v>
      </c>
      <c r="FD36" s="223">
        <f>IF(Q41="","",IF(N37="Tirage",IF(R41="","",R41),Q41))</f>
      </c>
      <c r="FE36" s="239"/>
      <c r="FF36" s="240"/>
      <c r="FG36" s="211"/>
      <c r="FH36" s="210"/>
      <c r="FI36" s="210"/>
      <c r="FJ36" s="245">
        <v>39997</v>
      </c>
      <c r="FK36" s="219" t="s">
        <v>126</v>
      </c>
      <c r="FL36" s="220" t="s">
        <v>125</v>
      </c>
      <c r="FM36" s="212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</row>
    <row r="37" spans="1:181" ht="15">
      <c r="A37" s="62" t="s">
        <v>65</v>
      </c>
      <c r="B37" s="66" t="s">
        <v>67</v>
      </c>
      <c r="C37" s="2">
        <v>10</v>
      </c>
      <c r="D37" s="4">
        <f t="shared" si="106"/>
      </c>
      <c r="E37" s="91" t="str">
        <f>VLOOKUP(A37,Tirage!$D$1:$F$40,3,FALSE)</f>
        <v>Japon</v>
      </c>
      <c r="F37" s="243"/>
      <c r="G37" s="243"/>
      <c r="H37" s="293" t="str">
        <f>VLOOKUP(B37,Tirage!$D$1:$F$40,3,FALSE)</f>
        <v>Cameroun</v>
      </c>
      <c r="I37" s="302"/>
      <c r="J37" s="4">
        <f t="shared" si="107"/>
      </c>
      <c r="K37" s="198">
        <v>39978</v>
      </c>
      <c r="L37" s="204" t="s">
        <v>105</v>
      </c>
      <c r="M37" s="200">
        <v>0.6666666666666666</v>
      </c>
      <c r="N37" s="264">
        <f>IF(AND(OR(DM40="2P1",EI40="3P1",EO40="4P1",DW40="2P2",EC40="3P2"),AG41=1),"Tirage",2)</f>
        <v>2</v>
      </c>
      <c r="O37" s="11"/>
      <c r="P37" s="11"/>
      <c r="Q37" s="25" t="str">
        <f>DS37</f>
        <v>Danemark</v>
      </c>
      <c r="R37" s="166">
        <f>IF(W37="","",VLOOKUP(Q37,V36:Y39,2,FALSE))</f>
      </c>
      <c r="S37" s="166">
        <f>IF(X37="","",VLOOKUP(Q37,V36:Y39,3,FALSE))</f>
      </c>
      <c r="T37" s="167">
        <f>IF($Y$4="","",VLOOKUP(Q37,V36:Y39,4,FALSE))</f>
      </c>
      <c r="V37" t="str">
        <f>H36</f>
        <v>Danemark</v>
      </c>
      <c r="W37">
        <f>IF(F36="","",SUM(J36,D40,J39))</f>
      </c>
      <c r="X37">
        <f>IF(F36="","",SUM(G36-F36+G39-F39+F40-G40))</f>
      </c>
      <c r="Y37">
        <f>IF(F36="","",SUM(G36,G39,F40))</f>
      </c>
      <c r="AH37" t="str">
        <f>IF(DR37=TRUE,V37,DP37)</f>
        <v>Danemark</v>
      </c>
      <c r="AI37">
        <f t="shared" si="108"/>
      </c>
      <c r="AJ37">
        <f t="shared" si="109"/>
        <v>1</v>
      </c>
      <c r="AK37">
        <f t="shared" si="110"/>
        <v>1</v>
      </c>
      <c r="AL37">
        <f t="shared" si="111"/>
      </c>
      <c r="AN37">
        <f t="shared" si="112"/>
      </c>
      <c r="AO37">
        <f t="shared" si="113"/>
        <v>1</v>
      </c>
      <c r="AP37">
        <f t="shared" si="114"/>
        <v>1</v>
      </c>
      <c r="AQ37">
        <f t="shared" si="115"/>
      </c>
      <c r="AR37" t="str">
        <f>V37</f>
        <v>Danemark</v>
      </c>
      <c r="AS37">
        <f>IF(W37="","",RANK(W37,W36:W39))</f>
      </c>
      <c r="AT37">
        <f>IF(X37="","",RANK(X37,X36:X39))</f>
      </c>
      <c r="AU37">
        <f>IF(Y37="","",RANK(Y37,Y36:Y39))</f>
      </c>
      <c r="AV37" t="str">
        <f>AR37</f>
        <v>Danemark</v>
      </c>
      <c r="AW37">
        <f>IF(AS37="","",AX37)</f>
      </c>
      <c r="AX37">
        <f t="shared" si="21"/>
      </c>
      <c r="AY37">
        <f t="shared" si="22"/>
      </c>
      <c r="AZ37">
        <f t="shared" si="23"/>
      </c>
      <c r="BA37">
        <f t="shared" si="24"/>
      </c>
      <c r="BB37">
        <f t="shared" si="25"/>
      </c>
      <c r="BC37">
        <f t="shared" si="26"/>
      </c>
      <c r="BD37">
        <f t="shared" si="27"/>
      </c>
      <c r="BE37">
        <f t="shared" si="28"/>
      </c>
      <c r="BF37">
        <f t="shared" si="29"/>
      </c>
      <c r="BG37">
        <f t="shared" si="30"/>
      </c>
      <c r="BH37">
        <f t="shared" si="31"/>
      </c>
      <c r="BI37">
        <f t="shared" si="32"/>
      </c>
      <c r="BJ37">
        <f t="shared" si="33"/>
      </c>
      <c r="BK37">
        <f t="shared" si="34"/>
      </c>
      <c r="BL37">
        <f t="shared" si="35"/>
      </c>
      <c r="BM37">
        <f t="shared" si="36"/>
      </c>
      <c r="BN37">
        <f t="shared" si="37"/>
      </c>
      <c r="BO37">
        <f t="shared" si="38"/>
      </c>
      <c r="BP37">
        <f t="shared" si="39"/>
      </c>
      <c r="BQ37">
        <f t="shared" si="40"/>
      </c>
      <c r="BR37">
        <f t="shared" si="41"/>
      </c>
      <c r="BS37">
        <f t="shared" si="42"/>
      </c>
      <c r="BT37">
        <f t="shared" si="43"/>
      </c>
      <c r="BU37">
        <f t="shared" si="44"/>
      </c>
      <c r="BV37">
        <f t="shared" si="45"/>
      </c>
      <c r="BW37">
        <f t="shared" si="46"/>
      </c>
      <c r="BX37">
        <f t="shared" si="47"/>
      </c>
      <c r="BY37">
        <f t="shared" si="48"/>
      </c>
      <c r="BZ37">
        <f t="shared" si="49"/>
      </c>
      <c r="CA37">
        <f t="shared" si="50"/>
      </c>
      <c r="CB37">
        <f t="shared" si="51"/>
      </c>
      <c r="CC37">
        <f t="shared" si="52"/>
      </c>
      <c r="CD37">
        <f t="shared" si="53"/>
      </c>
      <c r="CE37">
        <f t="shared" si="54"/>
      </c>
      <c r="CF37">
        <f t="shared" si="55"/>
      </c>
      <c r="CG37">
        <f t="shared" si="56"/>
      </c>
      <c r="CH37">
        <f t="shared" si="57"/>
      </c>
      <c r="CI37">
        <f t="shared" si="58"/>
      </c>
      <c r="CJ37">
        <f t="shared" si="59"/>
      </c>
      <c r="CK37">
        <f t="shared" si="60"/>
      </c>
      <c r="CL37">
        <f t="shared" si="61"/>
      </c>
      <c r="CM37">
        <f t="shared" si="62"/>
      </c>
      <c r="CN37">
        <f t="shared" si="63"/>
      </c>
      <c r="CO37">
        <f t="shared" si="64"/>
      </c>
      <c r="CP37">
        <f t="shared" si="65"/>
      </c>
      <c r="CQ37">
        <f t="shared" si="66"/>
      </c>
      <c r="CR37">
        <f t="shared" si="67"/>
      </c>
      <c r="CS37">
        <f t="shared" si="68"/>
      </c>
      <c r="CT37">
        <f t="shared" si="69"/>
      </c>
      <c r="CU37">
        <f t="shared" si="70"/>
      </c>
      <c r="CV37">
        <f t="shared" si="71"/>
      </c>
      <c r="CW37">
        <f t="shared" si="72"/>
      </c>
      <c r="CX37">
        <f t="shared" si="73"/>
      </c>
      <c r="CY37">
        <f t="shared" si="74"/>
      </c>
      <c r="CZ37">
        <f t="shared" si="75"/>
      </c>
      <c r="DA37">
        <f t="shared" si="76"/>
      </c>
      <c r="DB37">
        <f t="shared" si="77"/>
      </c>
      <c r="DC37">
        <f t="shared" si="78"/>
      </c>
      <c r="DD37">
        <f t="shared" si="79"/>
      </c>
      <c r="DE37">
        <f t="shared" si="80"/>
      </c>
      <c r="DF37">
        <f t="shared" si="81"/>
      </c>
      <c r="DG37">
        <f t="shared" si="82"/>
      </c>
      <c r="DH37">
        <f t="shared" si="83"/>
      </c>
      <c r="DI37">
        <f t="shared" si="84"/>
      </c>
      <c r="DK37" t="str">
        <f>AV37</f>
        <v>Danemark</v>
      </c>
      <c r="DL37">
        <f>IF(AW37="",0,RANK(AW37,AW36:AW39,1))</f>
        <v>0</v>
      </c>
      <c r="DM37">
        <f t="shared" si="95"/>
      </c>
      <c r="DN37" t="str">
        <f>DK37</f>
        <v>Danemark</v>
      </c>
      <c r="DO37">
        <v>2</v>
      </c>
      <c r="DP37" t="e">
        <f>VLOOKUP(DO37,DL36:DN39,3,FALSE)</f>
        <v>#N/A</v>
      </c>
      <c r="DQ37" t="e">
        <f>VLOOKUP(DP37,DK36:DL39,2,FALSE)</f>
        <v>#N/A</v>
      </c>
      <c r="DR37" t="b">
        <f>ISERROR(DP37)</f>
        <v>1</v>
      </c>
      <c r="DS37" t="str">
        <f>IF(DM40="2p1",DO41,DX37)</f>
        <v>Danemark</v>
      </c>
      <c r="DT37">
        <f>IF(DL37=1,DK37,"")</f>
      </c>
      <c r="DW37">
        <f>IF(DL37=2,2,"")</f>
      </c>
      <c r="DX37" t="str">
        <f>IF(DW40="2p2",DY40,EH37)</f>
        <v>Danemark</v>
      </c>
      <c r="EC37">
        <f>IF(ED37="","",2)</f>
      </c>
      <c r="ED37">
        <f>IF(DL37=2,DK37,"")</f>
      </c>
      <c r="EH37" t="str">
        <f>IF(EC40="3p2",ED40,EN37)</f>
        <v>Danemark</v>
      </c>
      <c r="EI37">
        <f>IF(EJ37="","",2)</f>
      </c>
      <c r="EJ37">
        <f>IF(DL37=1,DK37,"")</f>
      </c>
      <c r="EN37" t="str">
        <f>IF(EI40="3p1",EK40,EP37)</f>
        <v>Danemark</v>
      </c>
      <c r="EP37" t="str">
        <f>IF(EO40="4p1",DK37,AH37)</f>
        <v>Danemark</v>
      </c>
      <c r="EQ37">
        <f>IF(DL37=3,3,"")</f>
      </c>
      <c r="FB37" s="210"/>
      <c r="FC37" s="7"/>
      <c r="FD37" s="210"/>
      <c r="FE37" s="7"/>
      <c r="FF37" s="7"/>
      <c r="FG37" s="210"/>
      <c r="FH37" s="214">
        <v>60</v>
      </c>
      <c r="FI37" s="206"/>
      <c r="FJ37" s="231">
        <f>IF((OR(FE35="",FE36="",AND(FE35=FE36,OR(FF35="",FF36="")))),"",(IF((FE35+FF35)&gt;(FE36+FF36),FD35,FD36)))</f>
      </c>
      <c r="FK37" s="287"/>
      <c r="FL37" s="234"/>
      <c r="FM37" s="215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</row>
    <row r="38" spans="1:181" ht="15">
      <c r="A38" s="62" t="s">
        <v>20</v>
      </c>
      <c r="B38" s="66" t="s">
        <v>65</v>
      </c>
      <c r="C38" s="2">
        <v>25</v>
      </c>
      <c r="D38" s="4">
        <f t="shared" si="106"/>
      </c>
      <c r="E38" s="91" t="str">
        <f>VLOOKUP(A38,Tirage!$D$1:$F$40,3,FALSE)</f>
        <v>Pays-Bas</v>
      </c>
      <c r="F38" s="243"/>
      <c r="G38" s="243"/>
      <c r="H38" s="293" t="str">
        <f>VLOOKUP(B38,Tirage!$D$1:$F$40,3,FALSE)</f>
        <v>Japon</v>
      </c>
      <c r="I38" s="302"/>
      <c r="J38" s="4">
        <f t="shared" si="107"/>
      </c>
      <c r="K38" s="198">
        <v>39983</v>
      </c>
      <c r="L38" s="199" t="s">
        <v>107</v>
      </c>
      <c r="M38" s="200">
        <v>0.5625</v>
      </c>
      <c r="N38" s="264">
        <f>IF(AND(OR(EI40="3P1",EO40="4P1",DW40="2P2",EC40="3P2"),AG41=1),"Tirage",3)</f>
        <v>3</v>
      </c>
      <c r="O38" s="11"/>
      <c r="P38" s="11"/>
      <c r="Q38" s="25" t="str">
        <f>DS38</f>
        <v>Japon</v>
      </c>
      <c r="R38" s="166">
        <f>IF(W38="","",VLOOKUP(Q38,V36:Y39,2,FALSE))</f>
      </c>
      <c r="S38" s="166">
        <f>IF(X38="","",VLOOKUP(Q38,V36:Y39,3,FALSE))</f>
      </c>
      <c r="T38" s="167">
        <f>IF($Y$4="","",VLOOKUP(Q38,V36:Y39,4,FALSE))</f>
      </c>
      <c r="V38" t="str">
        <f>E37</f>
        <v>Japon</v>
      </c>
      <c r="W38">
        <f>IF(F37="","",SUM(D37,J38,J40))</f>
      </c>
      <c r="X38">
        <f>IF(F37="","",SUM(F37-G37+G38-F38+G40-F40))</f>
      </c>
      <c r="Y38">
        <f>IF(F37="","",SUM(F37,G38,G40))</f>
      </c>
      <c r="AH38" t="str">
        <f>IF(DR38=TRUE,V38,DP38)</f>
        <v>Japon</v>
      </c>
      <c r="AI38">
        <f t="shared" si="108"/>
      </c>
      <c r="AJ38">
        <f t="shared" si="109"/>
        <v>1</v>
      </c>
      <c r="AK38">
        <f t="shared" si="110"/>
        <v>1</v>
      </c>
      <c r="AL38">
        <f t="shared" si="111"/>
      </c>
      <c r="AN38">
        <f t="shared" si="112"/>
      </c>
      <c r="AO38">
        <f t="shared" si="113"/>
        <v>1</v>
      </c>
      <c r="AP38">
        <f t="shared" si="114"/>
        <v>1</v>
      </c>
      <c r="AQ38">
        <f t="shared" si="115"/>
      </c>
      <c r="AR38" t="str">
        <f>V38</f>
        <v>Japon</v>
      </c>
      <c r="AS38">
        <f>IF(W38="","",RANK(W38,W36:W39))</f>
      </c>
      <c r="AT38">
        <f>IF(X38="","",RANK(X38,X36:X39))</f>
      </c>
      <c r="AU38">
        <f>IF(Y38="","",RANK(Y38,Y36:Y39))</f>
      </c>
      <c r="AV38" t="str">
        <f>AR38</f>
        <v>Japon</v>
      </c>
      <c r="AW38">
        <f>IF(AS38="","",AX38)</f>
      </c>
      <c r="AX38">
        <f t="shared" si="21"/>
      </c>
      <c r="AY38">
        <f t="shared" si="22"/>
      </c>
      <c r="AZ38">
        <f t="shared" si="23"/>
      </c>
      <c r="BA38">
        <f t="shared" si="24"/>
      </c>
      <c r="BB38">
        <f t="shared" si="25"/>
      </c>
      <c r="BC38">
        <f t="shared" si="26"/>
      </c>
      <c r="BD38">
        <f t="shared" si="27"/>
      </c>
      <c r="BE38">
        <f t="shared" si="28"/>
      </c>
      <c r="BF38">
        <f t="shared" si="29"/>
      </c>
      <c r="BG38">
        <f t="shared" si="30"/>
      </c>
      <c r="BH38">
        <f t="shared" si="31"/>
      </c>
      <c r="BI38">
        <f t="shared" si="32"/>
      </c>
      <c r="BJ38">
        <f t="shared" si="33"/>
      </c>
      <c r="BK38">
        <f t="shared" si="34"/>
      </c>
      <c r="BL38">
        <f t="shared" si="35"/>
      </c>
      <c r="BM38">
        <f t="shared" si="36"/>
      </c>
      <c r="BN38">
        <f t="shared" si="37"/>
      </c>
      <c r="BO38">
        <f t="shared" si="38"/>
      </c>
      <c r="BP38">
        <f t="shared" si="39"/>
      </c>
      <c r="BQ38">
        <f t="shared" si="40"/>
      </c>
      <c r="BR38">
        <f t="shared" si="41"/>
      </c>
      <c r="BS38">
        <f t="shared" si="42"/>
      </c>
      <c r="BT38">
        <f t="shared" si="43"/>
      </c>
      <c r="BU38">
        <f t="shared" si="44"/>
      </c>
      <c r="BV38">
        <f t="shared" si="45"/>
      </c>
      <c r="BW38">
        <f t="shared" si="46"/>
      </c>
      <c r="BX38">
        <f t="shared" si="47"/>
      </c>
      <c r="BY38">
        <f t="shared" si="48"/>
      </c>
      <c r="BZ38">
        <f t="shared" si="49"/>
      </c>
      <c r="CA38">
        <f t="shared" si="50"/>
      </c>
      <c r="CB38">
        <f t="shared" si="51"/>
      </c>
      <c r="CC38">
        <f t="shared" si="52"/>
      </c>
      <c r="CD38">
        <f t="shared" si="53"/>
      </c>
      <c r="CE38">
        <f t="shared" si="54"/>
      </c>
      <c r="CF38">
        <f t="shared" si="55"/>
      </c>
      <c r="CG38">
        <f t="shared" si="56"/>
      </c>
      <c r="CH38">
        <f t="shared" si="57"/>
      </c>
      <c r="CI38">
        <f t="shared" si="58"/>
      </c>
      <c r="CJ38">
        <f t="shared" si="59"/>
      </c>
      <c r="CK38">
        <f t="shared" si="60"/>
      </c>
      <c r="CL38">
        <f t="shared" si="61"/>
      </c>
      <c r="CM38">
        <f t="shared" si="62"/>
      </c>
      <c r="CN38">
        <f t="shared" si="63"/>
      </c>
      <c r="CO38">
        <f t="shared" si="64"/>
      </c>
      <c r="CP38">
        <f t="shared" si="65"/>
      </c>
      <c r="CQ38">
        <f t="shared" si="66"/>
      </c>
      <c r="CR38">
        <f t="shared" si="67"/>
      </c>
      <c r="CS38">
        <f t="shared" si="68"/>
      </c>
      <c r="CT38">
        <f t="shared" si="69"/>
      </c>
      <c r="CU38">
        <f t="shared" si="70"/>
      </c>
      <c r="CV38">
        <f t="shared" si="71"/>
      </c>
      <c r="CW38">
        <f t="shared" si="72"/>
      </c>
      <c r="CX38">
        <f t="shared" si="73"/>
      </c>
      <c r="CY38">
        <f t="shared" si="74"/>
      </c>
      <c r="CZ38">
        <f t="shared" si="75"/>
      </c>
      <c r="DA38">
        <f t="shared" si="76"/>
      </c>
      <c r="DB38">
        <f t="shared" si="77"/>
      </c>
      <c r="DC38">
        <f t="shared" si="78"/>
      </c>
      <c r="DD38">
        <f t="shared" si="79"/>
      </c>
      <c r="DE38">
        <f t="shared" si="80"/>
      </c>
      <c r="DF38">
        <f t="shared" si="81"/>
      </c>
      <c r="DG38">
        <f t="shared" si="82"/>
      </c>
      <c r="DH38">
        <f t="shared" si="83"/>
      </c>
      <c r="DI38">
        <f t="shared" si="84"/>
      </c>
      <c r="DK38" t="str">
        <f>AV38</f>
        <v>Japon</v>
      </c>
      <c r="DL38">
        <f>IF(AW38="",0,RANK(AW38,AW36:AW39,1))</f>
        <v>0</v>
      </c>
      <c r="DM38">
        <f t="shared" si="95"/>
      </c>
      <c r="DN38" t="str">
        <f>DK38</f>
        <v>Japon</v>
      </c>
      <c r="DO38">
        <v>3</v>
      </c>
      <c r="DP38" t="e">
        <f>VLOOKUP(DO38,DL36:DN39,3,FALSE)</f>
        <v>#N/A</v>
      </c>
      <c r="DQ38" t="e">
        <f>VLOOKUP(DP38,DK36:DL39,2,FALSE)</f>
        <v>#N/A</v>
      </c>
      <c r="DR38" t="b">
        <f>ISERROR(DP38)</f>
        <v>1</v>
      </c>
      <c r="DS38" t="str">
        <f>DX38</f>
        <v>Japon</v>
      </c>
      <c r="DT38">
        <f>IF(DL38=1,DK38,"")</f>
      </c>
      <c r="DW38">
        <f>IF(DL38=2,2,"")</f>
      </c>
      <c r="DX38" t="str">
        <f>IF(DW40="2p2",DY41,EH38)</f>
        <v>Japon</v>
      </c>
      <c r="EC38">
        <f>IF(ED38="","",3)</f>
      </c>
      <c r="ED38">
        <f>IF(DL38=2,DK38,"")</f>
      </c>
      <c r="EH38" t="str">
        <f>IF(EC40="3p2",EE40,EN38)</f>
        <v>Japon</v>
      </c>
      <c r="EI38">
        <f>IF(EJ38="","",3)</f>
      </c>
      <c r="EJ38">
        <f>IF(DL38=1,DK38,"")</f>
      </c>
      <c r="EN38" t="str">
        <f>IF(EI40="3p1",EL40,EP38)</f>
        <v>Japon</v>
      </c>
      <c r="EP38" t="str">
        <f>IF(EO40="4p1",DK38,ER38)</f>
        <v>Japon</v>
      </c>
      <c r="EQ38">
        <f>IF(DL38=3,3,"")</f>
      </c>
      <c r="ER38" t="str">
        <f>IF(EQ40="2p3",ES40,AH38)</f>
        <v>Japon</v>
      </c>
      <c r="FB38" s="210"/>
      <c r="FC38" s="7"/>
      <c r="FD38" s="245">
        <v>39993</v>
      </c>
      <c r="FE38" s="219" t="s">
        <v>126</v>
      </c>
      <c r="FF38" s="220" t="s">
        <v>125</v>
      </c>
      <c r="FG38" s="212"/>
      <c r="FH38" s="210"/>
      <c r="FI38" s="208"/>
      <c r="FJ38" s="233">
        <f>IF((OR(FE39="",FE40="",AND(FE39=FE40,OR(FF39="",FF40="")))),"",(IF((FE39+FF39)&gt;(FE40+FF40),FD39,FD40)))</f>
      </c>
      <c r="FK38" s="239"/>
      <c r="FL38" s="235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</row>
    <row r="39" spans="1:181" ht="15">
      <c r="A39" s="62" t="s">
        <v>67</v>
      </c>
      <c r="B39" s="66" t="s">
        <v>21</v>
      </c>
      <c r="C39" s="2">
        <v>26</v>
      </c>
      <c r="D39" s="4">
        <f t="shared" si="106"/>
      </c>
      <c r="E39" s="91" t="str">
        <f>VLOOKUP(A39,Tirage!$D$1:$F$40,3,FALSE)</f>
        <v>Cameroun</v>
      </c>
      <c r="F39" s="243"/>
      <c r="G39" s="243"/>
      <c r="H39" s="293" t="str">
        <f>VLOOKUP(B39,Tirage!$D$1:$F$40,3,FALSE)</f>
        <v>Danemark</v>
      </c>
      <c r="I39" s="302"/>
      <c r="J39" s="4">
        <f t="shared" si="107"/>
      </c>
      <c r="K39" s="198">
        <v>39983</v>
      </c>
      <c r="L39" s="199" t="s">
        <v>102</v>
      </c>
      <c r="M39" s="200">
        <v>0.8541666666666666</v>
      </c>
      <c r="N39" s="264">
        <f>IF(AND(OR(EO40="4P1",EC40="3P2"),AG41=1),"Tirage",4)</f>
        <v>4</v>
      </c>
      <c r="O39" s="11"/>
      <c r="P39" s="11"/>
      <c r="Q39" s="26" t="str">
        <f>DS39</f>
        <v>Cameroun</v>
      </c>
      <c r="R39" s="168">
        <f>IF(W39="","",VLOOKUP(Q39,V36:Y39,2,FALSE))</f>
      </c>
      <c r="S39" s="168">
        <f>IF(X39="","",VLOOKUP(Q39,V36:Y39,3,FALSE))</f>
      </c>
      <c r="T39" s="169">
        <f>IF($Y$4="","",VLOOKUP(Q39,V36:Y39,4,FALSE))</f>
      </c>
      <c r="V39" t="str">
        <f>H37</f>
        <v>Cameroun</v>
      </c>
      <c r="W39">
        <f>IF(F37="","",SUM(J37,D39,D41))</f>
      </c>
      <c r="X39">
        <f>IF(F37="","",SUM(G37-F37+F39-G39+F41-G41))</f>
      </c>
      <c r="Y39">
        <f>IF(F37="","",SUM(G37,F39,F41))</f>
      </c>
      <c r="AH39" t="str">
        <f>IF(DR39=TRUE,V39,DP39)</f>
        <v>Cameroun</v>
      </c>
      <c r="AI39">
        <f t="shared" si="108"/>
      </c>
      <c r="AJ39">
        <f t="shared" si="109"/>
        <v>1</v>
      </c>
      <c r="AK39">
        <f t="shared" si="110"/>
        <v>1</v>
      </c>
      <c r="AL39">
        <f t="shared" si="111"/>
      </c>
      <c r="AN39">
        <f t="shared" si="112"/>
      </c>
      <c r="AO39">
        <f t="shared" si="113"/>
        <v>1</v>
      </c>
      <c r="AP39">
        <f t="shared" si="114"/>
        <v>1</v>
      </c>
      <c r="AQ39">
        <f t="shared" si="115"/>
      </c>
      <c r="AR39" t="str">
        <f>V39</f>
        <v>Cameroun</v>
      </c>
      <c r="AS39">
        <f>IF(W39="","",RANK(W39,W36:W39))</f>
      </c>
      <c r="AT39">
        <f>IF(X39="","",RANK(X39,X36:X39))</f>
      </c>
      <c r="AU39">
        <f>IF(Y39="","",RANK(Y39,$Y$36:$Y$39))</f>
      </c>
      <c r="AV39" t="str">
        <f>AR39</f>
        <v>Cameroun</v>
      </c>
      <c r="AW39">
        <f>IF(AS39="","",AX39)</f>
      </c>
      <c r="AX39">
        <f t="shared" si="21"/>
      </c>
      <c r="AY39">
        <f t="shared" si="22"/>
      </c>
      <c r="AZ39">
        <f t="shared" si="23"/>
      </c>
      <c r="BA39">
        <f t="shared" si="24"/>
      </c>
      <c r="BB39">
        <f t="shared" si="25"/>
      </c>
      <c r="BC39">
        <f t="shared" si="26"/>
      </c>
      <c r="BD39">
        <f t="shared" si="27"/>
      </c>
      <c r="BE39">
        <f t="shared" si="28"/>
      </c>
      <c r="BF39">
        <f t="shared" si="29"/>
      </c>
      <c r="BG39">
        <f t="shared" si="30"/>
      </c>
      <c r="BH39">
        <f t="shared" si="31"/>
      </c>
      <c r="BI39">
        <f t="shared" si="32"/>
      </c>
      <c r="BJ39">
        <f t="shared" si="33"/>
      </c>
      <c r="BK39">
        <f t="shared" si="34"/>
      </c>
      <c r="BL39">
        <f t="shared" si="35"/>
      </c>
      <c r="BM39">
        <f t="shared" si="36"/>
      </c>
      <c r="BN39">
        <f t="shared" si="37"/>
      </c>
      <c r="BO39">
        <f t="shared" si="38"/>
      </c>
      <c r="BP39">
        <f t="shared" si="39"/>
      </c>
      <c r="BQ39">
        <f t="shared" si="40"/>
      </c>
      <c r="BR39">
        <f t="shared" si="41"/>
      </c>
      <c r="BS39">
        <f t="shared" si="42"/>
      </c>
      <c r="BT39">
        <f t="shared" si="43"/>
      </c>
      <c r="BU39">
        <f t="shared" si="44"/>
      </c>
      <c r="BV39">
        <f t="shared" si="45"/>
      </c>
      <c r="BW39">
        <f t="shared" si="46"/>
      </c>
      <c r="BX39">
        <f t="shared" si="47"/>
      </c>
      <c r="BY39">
        <f t="shared" si="48"/>
      </c>
      <c r="BZ39">
        <f t="shared" si="49"/>
      </c>
      <c r="CA39">
        <f t="shared" si="50"/>
      </c>
      <c r="CB39">
        <f t="shared" si="51"/>
      </c>
      <c r="CC39">
        <f t="shared" si="52"/>
      </c>
      <c r="CD39">
        <f t="shared" si="53"/>
      </c>
      <c r="CE39">
        <f t="shared" si="54"/>
      </c>
      <c r="CF39">
        <f t="shared" si="55"/>
      </c>
      <c r="CG39">
        <f t="shared" si="56"/>
      </c>
      <c r="CH39">
        <f t="shared" si="57"/>
      </c>
      <c r="CI39">
        <f t="shared" si="58"/>
      </c>
      <c r="CJ39">
        <f t="shared" si="59"/>
      </c>
      <c r="CK39">
        <f t="shared" si="60"/>
      </c>
      <c r="CL39">
        <f t="shared" si="61"/>
      </c>
      <c r="CM39">
        <f t="shared" si="62"/>
      </c>
      <c r="CN39">
        <f t="shared" si="63"/>
      </c>
      <c r="CO39">
        <f t="shared" si="64"/>
      </c>
      <c r="CP39">
        <f t="shared" si="65"/>
      </c>
      <c r="CQ39">
        <f t="shared" si="66"/>
      </c>
      <c r="CR39">
        <f t="shared" si="67"/>
      </c>
      <c r="CS39">
        <f t="shared" si="68"/>
      </c>
      <c r="CT39">
        <f t="shared" si="69"/>
      </c>
      <c r="CU39">
        <f t="shared" si="70"/>
      </c>
      <c r="CV39">
        <f t="shared" si="71"/>
      </c>
      <c r="CW39">
        <f t="shared" si="72"/>
      </c>
      <c r="CX39">
        <f t="shared" si="73"/>
      </c>
      <c r="CY39">
        <f t="shared" si="74"/>
      </c>
      <c r="CZ39">
        <f t="shared" si="75"/>
      </c>
      <c r="DA39">
        <f t="shared" si="76"/>
      </c>
      <c r="DB39">
        <f t="shared" si="77"/>
      </c>
      <c r="DC39">
        <f t="shared" si="78"/>
      </c>
      <c r="DD39">
        <f t="shared" si="79"/>
      </c>
      <c r="DE39">
        <f t="shared" si="80"/>
      </c>
      <c r="DF39">
        <f t="shared" si="81"/>
      </c>
      <c r="DG39">
        <f t="shared" si="82"/>
      </c>
      <c r="DH39">
        <f t="shared" si="83"/>
      </c>
      <c r="DI39">
        <f t="shared" si="84"/>
      </c>
      <c r="DK39" t="str">
        <f>AV39</f>
        <v>Cameroun</v>
      </c>
      <c r="DL39">
        <f>IF(AW39="",0,RANK(AW39,AW36:AW39,1))</f>
        <v>0</v>
      </c>
      <c r="DM39">
        <f t="shared" si="95"/>
      </c>
      <c r="DN39" t="str">
        <f>DK39</f>
        <v>Cameroun</v>
      </c>
      <c r="DO39">
        <v>4</v>
      </c>
      <c r="DP39" t="e">
        <f>VLOOKUP(DO39,DL36:DN39,3,FALSE)</f>
        <v>#N/A</v>
      </c>
      <c r="DQ39" t="e">
        <f>VLOOKUP(DP39,DK36:DL39,2,FALSE)</f>
        <v>#N/A</v>
      </c>
      <c r="DR39" t="b">
        <f>ISERROR(DP39)</f>
        <v>1</v>
      </c>
      <c r="DS39" t="str">
        <f>EH39</f>
        <v>Cameroun</v>
      </c>
      <c r="DT39">
        <f>IF(DL39=1,DK39,"")</f>
      </c>
      <c r="DW39">
        <f>IF(DL39=2,2,"")</f>
      </c>
      <c r="EC39">
        <f>IF(ED39="","",4)</f>
      </c>
      <c r="ED39">
        <f>IF(DL39=2,DK39,"")</f>
      </c>
      <c r="EH39" t="str">
        <f>IF(EC40="3p2",EF40,EP39)</f>
        <v>Cameroun</v>
      </c>
      <c r="EI39">
        <f>IF(EJ39="","",4)</f>
      </c>
      <c r="EJ39">
        <f>IF(DL39=1,DK39,"")</f>
      </c>
      <c r="EP39" t="str">
        <f>IF(EO40="4p1",DK39,ER39)</f>
        <v>Cameroun</v>
      </c>
      <c r="EQ39">
        <f>IF(DL39=3,3,"")</f>
      </c>
      <c r="ER39" t="str">
        <f>IF(EQ40="2p3",ES41,AH39)</f>
        <v>Cameroun</v>
      </c>
      <c r="FB39" s="210">
        <v>56</v>
      </c>
      <c r="FC39" s="1" t="s">
        <v>123</v>
      </c>
      <c r="FD39" s="222">
        <f>IF(Q64="","",IF(N60="Tirage",IF(R64="","",R64),Q64))</f>
      </c>
      <c r="FE39" s="237"/>
      <c r="FF39" s="238"/>
      <c r="FG39" s="214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</row>
    <row r="40" spans="1:181" ht="15">
      <c r="A40" s="62" t="s">
        <v>21</v>
      </c>
      <c r="B40" s="66" t="s">
        <v>65</v>
      </c>
      <c r="C40" s="2">
        <v>41</v>
      </c>
      <c r="D40" s="4">
        <f t="shared" si="106"/>
      </c>
      <c r="E40" s="91" t="str">
        <f>VLOOKUP(A40,Tirage!$D$1:$F$40,3,FALSE)</f>
        <v>Danemark</v>
      </c>
      <c r="F40" s="243"/>
      <c r="G40" s="243"/>
      <c r="H40" s="293" t="str">
        <f>VLOOKUP(B40,Tirage!$D$1:$F$40,3,FALSE)</f>
        <v>Japon</v>
      </c>
      <c r="I40" s="302"/>
      <c r="J40" s="4">
        <f t="shared" si="107"/>
      </c>
      <c r="K40" s="198">
        <v>39988</v>
      </c>
      <c r="L40" s="199" t="s">
        <v>104</v>
      </c>
      <c r="M40" s="200">
        <v>0.8541666666666666</v>
      </c>
      <c r="N40" s="265" t="s">
        <v>117</v>
      </c>
      <c r="O40" s="69"/>
      <c r="P40" s="42"/>
      <c r="Q40" s="291">
        <f>IF(N36="Tirage","Résultat tirage:",AH40)</f>
      </c>
      <c r="R40" s="296"/>
      <c r="S40" s="296"/>
      <c r="T40" s="296"/>
      <c r="AH40">
        <f>IF(G41="","",AH36)</f>
      </c>
      <c r="AI40">
        <f t="shared" si="108"/>
      </c>
      <c r="AJ40">
        <f t="shared" si="109"/>
        <v>1</v>
      </c>
      <c r="AK40">
        <f t="shared" si="110"/>
        <v>1</v>
      </c>
      <c r="AL40">
        <f t="shared" si="111"/>
      </c>
      <c r="AN40">
        <f t="shared" si="112"/>
      </c>
      <c r="AO40">
        <f t="shared" si="113"/>
        <v>1</v>
      </c>
      <c r="AP40">
        <f t="shared" si="114"/>
        <v>1</v>
      </c>
      <c r="AQ40">
        <f t="shared" si="115"/>
      </c>
      <c r="DM40">
        <f>IF(SUM(DM36:DM39)=2,"2P1","")</f>
      </c>
      <c r="DO40">
        <f>IF(DT36="",DP40,DT36)</f>
      </c>
      <c r="DP40">
        <f>IF(DT37="",DQ40,DT37)</f>
      </c>
      <c r="DQ40">
        <f>IF(DT38="",DR40,DT38)</f>
      </c>
      <c r="DR40">
        <f>IF(DT39="","",DT39)</f>
      </c>
      <c r="DW40">
        <f>IF(SUM(DW36:DW39)=4,"2P2","")</f>
      </c>
      <c r="DY40">
        <f>IF(ED36="",DZ40,ED36)</f>
      </c>
      <c r="DZ40">
        <f>IF(ED37="",EA40,ED37)</f>
      </c>
      <c r="EA40">
        <f>IF(ED38="",EB40,ED38)</f>
      </c>
      <c r="EB40">
        <f>IF(ED39="","",ED39)</f>
      </c>
      <c r="EC40">
        <f>IF(SUM(DW36:DW39)=6,"3P2","")</f>
      </c>
      <c r="ED40">
        <f>IF(EC36=1,ED36,EE40)</f>
      </c>
      <c r="EE40">
        <f>IF(EC37=2,ED37,EF40)</f>
      </c>
      <c r="EF40">
        <f>IF(EC38=3,ED38,EG40)</f>
      </c>
      <c r="EG40">
        <f>IF(EC39=4,ED39,"")</f>
      </c>
      <c r="EI40">
        <f>IF(SUM(DM36:DM39)=3,"3P1","")</f>
      </c>
      <c r="EJ40">
        <f>IF(EI36=1,EJ36,EK40)</f>
      </c>
      <c r="EK40">
        <f>IF(EI37=2,EJ37,EL40)</f>
      </c>
      <c r="EL40">
        <f>IF(EI38=3,EJ38,EM40)</f>
      </c>
      <c r="EM40">
        <f>IF(EI39=4,EJ39,"")</f>
      </c>
      <c r="EO40">
        <f>IF(SUM(DM36:DM39)=4,"4P1","")</f>
      </c>
      <c r="EQ40">
        <f>IF(SUM(EQ36:EQ39)=6,"2P3","")</f>
      </c>
      <c r="FB40" s="210"/>
      <c r="FC40" s="217" t="s">
        <v>122</v>
      </c>
      <c r="FD40" s="223">
        <f>IF(Q57="","",IF(N53="Tirage",IF(R57="","",R57),Q57))</f>
      </c>
      <c r="FE40" s="239"/>
      <c r="FF40" s="24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</row>
    <row r="41" spans="1:181" ht="15">
      <c r="A41" s="63" t="s">
        <v>67</v>
      </c>
      <c r="B41" s="63" t="s">
        <v>20</v>
      </c>
      <c r="C41" s="5">
        <v>42</v>
      </c>
      <c r="D41" s="6">
        <f t="shared" si="106"/>
      </c>
      <c r="E41" s="92" t="str">
        <f>VLOOKUP(A41,Tirage!$D$1:$F$40,3,FALSE)</f>
        <v>Cameroun</v>
      </c>
      <c r="F41" s="244"/>
      <c r="G41" s="244"/>
      <c r="H41" s="294" t="str">
        <f>VLOOKUP(B41,Tirage!$D$1:$F$40,3,FALSE)</f>
        <v>Pays-Bas</v>
      </c>
      <c r="I41" s="300"/>
      <c r="J41" s="6">
        <f t="shared" si="107"/>
      </c>
      <c r="K41" s="201">
        <v>39988</v>
      </c>
      <c r="L41" s="199" t="s">
        <v>101</v>
      </c>
      <c r="M41" s="203">
        <v>0.8541666666666666</v>
      </c>
      <c r="N41" s="266" t="s">
        <v>118</v>
      </c>
      <c r="O41" s="109"/>
      <c r="P41" s="43"/>
      <c r="Q41" s="292">
        <f>IF(N37="Tirage","Résultat tirage:",AH41)</f>
      </c>
      <c r="R41" s="307"/>
      <c r="S41" s="307"/>
      <c r="T41" s="307"/>
      <c r="AG41">
        <f>IF(J41="","",1)</f>
      </c>
      <c r="AH41">
        <f>IF(G41="","",AH37)</f>
      </c>
      <c r="AI41">
        <f t="shared" si="108"/>
      </c>
      <c r="AJ41">
        <f t="shared" si="109"/>
        <v>1</v>
      </c>
      <c r="AK41">
        <f t="shared" si="110"/>
        <v>1</v>
      </c>
      <c r="AL41">
        <f t="shared" si="111"/>
      </c>
      <c r="AN41">
        <f t="shared" si="112"/>
      </c>
      <c r="AO41">
        <f t="shared" si="113"/>
        <v>1</v>
      </c>
      <c r="AP41">
        <f t="shared" si="114"/>
        <v>1</v>
      </c>
      <c r="AQ41">
        <f t="shared" si="115"/>
      </c>
      <c r="DO41">
        <f>IF(DT39="",DP41,DT39)</f>
      </c>
      <c r="DP41">
        <f>IF(DT38="",DQ41,DT38)</f>
      </c>
      <c r="DQ41">
        <f>IF(DT37="",DR41,DT37)</f>
      </c>
      <c r="DR41">
        <f>IF(DT36="","",DT36)</f>
      </c>
      <c r="DY41">
        <f>IF(ED39="",DZ41,ED39)</f>
      </c>
      <c r="DZ41">
        <f>IF(ED38="",EA41,ED38)</f>
      </c>
      <c r="EA41">
        <f>IF(ED37="",EB41,ED37)</f>
      </c>
      <c r="EB41">
        <f>IF(ED36="","",ED36)</f>
      </c>
      <c r="FB41" s="210"/>
      <c r="FC41" s="7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</row>
    <row r="42" spans="1:181" ht="15" hidden="1">
      <c r="A42" s="62"/>
      <c r="B42" s="62"/>
      <c r="C42" s="72"/>
      <c r="D42" s="54"/>
      <c r="E42" s="99"/>
      <c r="F42" s="100"/>
      <c r="G42" s="100"/>
      <c r="H42" s="100"/>
      <c r="I42" s="99"/>
      <c r="J42" s="54"/>
      <c r="K42" s="188"/>
      <c r="L42" s="73"/>
      <c r="M42" s="14"/>
      <c r="N42" s="67"/>
      <c r="O42" s="80"/>
      <c r="P42" s="80"/>
      <c r="Q42" s="75"/>
      <c r="R42" s="76"/>
      <c r="S42" s="76"/>
      <c r="T42" s="76"/>
      <c r="AX42">
        <v>111</v>
      </c>
      <c r="AY42">
        <v>112</v>
      </c>
      <c r="AZ42">
        <v>113</v>
      </c>
      <c r="BA42">
        <v>114</v>
      </c>
      <c r="BB42">
        <v>121</v>
      </c>
      <c r="BC42">
        <v>122</v>
      </c>
      <c r="BD42">
        <v>123</v>
      </c>
      <c r="BE42">
        <v>124</v>
      </c>
      <c r="BF42">
        <v>131</v>
      </c>
      <c r="BG42">
        <v>132</v>
      </c>
      <c r="BH42">
        <v>133</v>
      </c>
      <c r="BI42">
        <v>134</v>
      </c>
      <c r="BJ42">
        <v>141</v>
      </c>
      <c r="BK42">
        <v>142</v>
      </c>
      <c r="BL42">
        <v>143</v>
      </c>
      <c r="BM42">
        <v>144</v>
      </c>
      <c r="BN42">
        <v>211</v>
      </c>
      <c r="BO42">
        <v>212</v>
      </c>
      <c r="BP42">
        <v>213</v>
      </c>
      <c r="BQ42">
        <v>214</v>
      </c>
      <c r="BR42">
        <v>221</v>
      </c>
      <c r="BS42">
        <v>222</v>
      </c>
      <c r="BT42">
        <v>223</v>
      </c>
      <c r="BU42">
        <v>224</v>
      </c>
      <c r="BV42">
        <v>231</v>
      </c>
      <c r="BW42">
        <v>232</v>
      </c>
      <c r="BX42">
        <v>233</v>
      </c>
      <c r="BY42">
        <v>234</v>
      </c>
      <c r="BZ42">
        <v>241</v>
      </c>
      <c r="CA42">
        <v>242</v>
      </c>
      <c r="CB42">
        <v>243</v>
      </c>
      <c r="CC42">
        <v>244</v>
      </c>
      <c r="CD42">
        <v>311</v>
      </c>
      <c r="CE42">
        <v>312</v>
      </c>
      <c r="CF42">
        <v>313</v>
      </c>
      <c r="CG42">
        <v>314</v>
      </c>
      <c r="CH42">
        <v>321</v>
      </c>
      <c r="CI42">
        <v>322</v>
      </c>
      <c r="CJ42">
        <v>323</v>
      </c>
      <c r="CK42">
        <v>324</v>
      </c>
      <c r="CL42">
        <v>331</v>
      </c>
      <c r="CM42">
        <v>332</v>
      </c>
      <c r="CN42">
        <v>333</v>
      </c>
      <c r="CO42">
        <v>334</v>
      </c>
      <c r="CP42">
        <v>341</v>
      </c>
      <c r="CQ42">
        <v>342</v>
      </c>
      <c r="CR42">
        <v>343</v>
      </c>
      <c r="CS42">
        <v>344</v>
      </c>
      <c r="CT42">
        <v>411</v>
      </c>
      <c r="CU42">
        <v>412</v>
      </c>
      <c r="CV42">
        <v>413</v>
      </c>
      <c r="CW42">
        <v>414</v>
      </c>
      <c r="CX42">
        <v>421</v>
      </c>
      <c r="CY42">
        <v>422</v>
      </c>
      <c r="CZ42">
        <v>423</v>
      </c>
      <c r="DA42">
        <v>424</v>
      </c>
      <c r="DB42">
        <v>431</v>
      </c>
      <c r="DC42">
        <v>432</v>
      </c>
      <c r="DD42">
        <v>433</v>
      </c>
      <c r="DE42">
        <v>434</v>
      </c>
      <c r="DF42">
        <v>441</v>
      </c>
      <c r="DG42">
        <v>442</v>
      </c>
      <c r="DH42">
        <v>443</v>
      </c>
      <c r="DI42">
        <v>444</v>
      </c>
      <c r="DM42" t="s">
        <v>86</v>
      </c>
      <c r="DW42" t="s">
        <v>87</v>
      </c>
      <c r="EC42" t="s">
        <v>88</v>
      </c>
      <c r="EI42" t="s">
        <v>89</v>
      </c>
      <c r="EO42" t="s">
        <v>90</v>
      </c>
      <c r="EQ42" t="s">
        <v>91</v>
      </c>
      <c r="FB42" s="210"/>
      <c r="FC42" s="7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</row>
    <row r="43" spans="1:181" ht="15">
      <c r="A43" s="106"/>
      <c r="B43" s="60"/>
      <c r="C43" s="2"/>
      <c r="D43" s="130" t="s">
        <v>83</v>
      </c>
      <c r="E43" s="317" t="s">
        <v>6</v>
      </c>
      <c r="F43" s="318"/>
      <c r="G43" s="318"/>
      <c r="H43" s="318"/>
      <c r="I43" s="319"/>
      <c r="J43" s="130" t="s">
        <v>83</v>
      </c>
      <c r="K43" s="193" t="s">
        <v>11</v>
      </c>
      <c r="L43" s="197" t="s">
        <v>12</v>
      </c>
      <c r="M43" s="131" t="s">
        <v>13</v>
      </c>
      <c r="N43" s="377" t="s">
        <v>136</v>
      </c>
      <c r="O43" s="378"/>
      <c r="P43" s="378"/>
      <c r="Q43" s="379"/>
      <c r="R43" s="132" t="s">
        <v>83</v>
      </c>
      <c r="S43" s="283" t="s">
        <v>84</v>
      </c>
      <c r="T43" s="132" t="s">
        <v>85</v>
      </c>
      <c r="W43" t="s">
        <v>83</v>
      </c>
      <c r="X43" t="s">
        <v>84</v>
      </c>
      <c r="Y43" t="s">
        <v>85</v>
      </c>
      <c r="AI43" t="s">
        <v>92</v>
      </c>
      <c r="AJ43" t="s">
        <v>93</v>
      </c>
      <c r="AK43" t="s">
        <v>94</v>
      </c>
      <c r="AL43" t="s">
        <v>95</v>
      </c>
      <c r="AN43" t="s">
        <v>92</v>
      </c>
      <c r="AO43" t="s">
        <v>93</v>
      </c>
      <c r="AP43" t="s">
        <v>94</v>
      </c>
      <c r="AQ43" t="s">
        <v>95</v>
      </c>
      <c r="AS43" t="s">
        <v>96</v>
      </c>
      <c r="AT43" t="s">
        <v>97</v>
      </c>
      <c r="AU43" t="s">
        <v>98</v>
      </c>
      <c r="FB43" s="210"/>
      <c r="FC43" s="7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</row>
    <row r="44" spans="1:181" ht="15">
      <c r="A44" s="62" t="s">
        <v>22</v>
      </c>
      <c r="B44" s="66" t="s">
        <v>23</v>
      </c>
      <c r="C44" s="2">
        <v>11</v>
      </c>
      <c r="D44" s="3">
        <f aca="true" t="shared" si="116" ref="D44:D49">IF(F44="","",AI44)</f>
      </c>
      <c r="E44" s="93" t="str">
        <f>VLOOKUP(A44,Tirage!$D$1:$F$40,3,FALSE)</f>
        <v>Italie</v>
      </c>
      <c r="F44" s="243"/>
      <c r="G44" s="243"/>
      <c r="H44" s="295" t="str">
        <f>VLOOKUP(B44,Tirage!$D$1:$F$40,3,FALSE)</f>
        <v>Paraguay</v>
      </c>
      <c r="I44" s="302"/>
      <c r="J44" s="3">
        <f aca="true" t="shared" si="117" ref="J44:J49">IF(F44="","",AO44)</f>
      </c>
      <c r="K44" s="198">
        <v>39978</v>
      </c>
      <c r="L44" s="199" t="s">
        <v>101</v>
      </c>
      <c r="M44" s="200">
        <v>0.8541666666666666</v>
      </c>
      <c r="N44" s="269">
        <f>IF(AND(OR(DM48="2P1",EI48="3P1",EO48="4P1"),AG49=1),"Tirage",1)</f>
        <v>1</v>
      </c>
      <c r="O44" s="11"/>
      <c r="P44" s="11"/>
      <c r="Q44" s="27" t="str">
        <f>DS44</f>
        <v>Italie</v>
      </c>
      <c r="R44" s="170">
        <f>IF(W44="","",VLOOKUP(Q44,V44:Y47,2,FALSE))</f>
      </c>
      <c r="S44" s="170">
        <f>IF(X44="","",VLOOKUP(Q44,V44:Y47,3,FALSE))</f>
      </c>
      <c r="T44" s="171">
        <f>IF($Y$4="","",VLOOKUP(Q44,V44:Y47,4,FALSE))</f>
      </c>
      <c r="V44" t="str">
        <f>E44</f>
        <v>Italie</v>
      </c>
      <c r="W44">
        <f>IF(F44="","",SUM(D44,D47,J48))</f>
      </c>
      <c r="X44">
        <f>IF(F44="","",SUM((F44-G44)+(F47-G47)+(G48-F48)))</f>
      </c>
      <c r="Y44">
        <f>IF(F44="","",SUM(F44,F47,G48))</f>
      </c>
      <c r="AH44" t="str">
        <f>IF(DR44=TRUE,V44,DP44)</f>
        <v>Italie</v>
      </c>
      <c r="AI44">
        <f aca="true" t="shared" si="118" ref="AI44:AI49">IF(G44="","",AJ44)</f>
      </c>
      <c r="AJ44">
        <f aca="true" t="shared" si="119" ref="AJ44:AJ49">IF(F44&lt;G44,0,AK44)</f>
        <v>1</v>
      </c>
      <c r="AK44">
        <f aca="true" t="shared" si="120" ref="AK44:AK49">IF(F44=G44,1,AL44)</f>
        <v>1</v>
      </c>
      <c r="AL44">
        <f aca="true" t="shared" si="121" ref="AL44:AL49">IF(F44&gt;G44,3,"")</f>
      </c>
      <c r="AN44">
        <f aca="true" t="shared" si="122" ref="AN44:AN49">IF(G44="","",AO44)</f>
      </c>
      <c r="AO44">
        <f aca="true" t="shared" si="123" ref="AO44:AO49">IF(G44&lt;F44,0,AP44)</f>
        <v>1</v>
      </c>
      <c r="AP44">
        <f aca="true" t="shared" si="124" ref="AP44:AP49">IF(G44=F44,1,AQ44)</f>
        <v>1</v>
      </c>
      <c r="AQ44">
        <f aca="true" t="shared" si="125" ref="AQ44:AQ49">IF(G44&gt;F44,3,"")</f>
      </c>
      <c r="AR44" t="str">
        <f>V44</f>
        <v>Italie</v>
      </c>
      <c r="AS44">
        <f>IF(W44="","",RANK(W44,W44:W47))</f>
      </c>
      <c r="AT44">
        <f>IF(X44="","",RANK(X44,X44:X47))</f>
      </c>
      <c r="AU44">
        <f>IF(Y44="","",RANK(Y44,Y44:Y47))</f>
      </c>
      <c r="AV44" t="str">
        <f>AR44</f>
        <v>Italie</v>
      </c>
      <c r="AW44">
        <f>IF(AS44="","",AX44)</f>
      </c>
      <c r="AX44">
        <f t="shared" si="21"/>
      </c>
      <c r="AY44">
        <f t="shared" si="22"/>
      </c>
      <c r="AZ44">
        <f t="shared" si="23"/>
      </c>
      <c r="BA44">
        <f t="shared" si="24"/>
      </c>
      <c r="BB44">
        <f t="shared" si="25"/>
      </c>
      <c r="BC44">
        <f t="shared" si="26"/>
      </c>
      <c r="BD44">
        <f t="shared" si="27"/>
      </c>
      <c r="BE44">
        <f t="shared" si="28"/>
      </c>
      <c r="BF44">
        <f t="shared" si="29"/>
      </c>
      <c r="BG44">
        <f t="shared" si="30"/>
      </c>
      <c r="BH44">
        <f t="shared" si="31"/>
      </c>
      <c r="BI44">
        <f t="shared" si="32"/>
      </c>
      <c r="BJ44">
        <f t="shared" si="33"/>
      </c>
      <c r="BK44">
        <f t="shared" si="34"/>
      </c>
      <c r="BL44">
        <f t="shared" si="35"/>
      </c>
      <c r="BM44">
        <f t="shared" si="36"/>
      </c>
      <c r="BN44">
        <f t="shared" si="37"/>
      </c>
      <c r="BO44">
        <f t="shared" si="38"/>
      </c>
      <c r="BP44">
        <f t="shared" si="39"/>
      </c>
      <c r="BQ44">
        <f t="shared" si="40"/>
      </c>
      <c r="BR44">
        <f t="shared" si="41"/>
      </c>
      <c r="BS44">
        <f t="shared" si="42"/>
      </c>
      <c r="BT44">
        <f t="shared" si="43"/>
      </c>
      <c r="BU44">
        <f t="shared" si="44"/>
      </c>
      <c r="BV44">
        <f t="shared" si="45"/>
      </c>
      <c r="BW44">
        <f t="shared" si="46"/>
      </c>
      <c r="BX44">
        <f t="shared" si="47"/>
      </c>
      <c r="BY44">
        <f t="shared" si="48"/>
      </c>
      <c r="BZ44">
        <f t="shared" si="49"/>
      </c>
      <c r="CA44">
        <f t="shared" si="50"/>
      </c>
      <c r="CB44">
        <f t="shared" si="51"/>
      </c>
      <c r="CC44">
        <f t="shared" si="52"/>
      </c>
      <c r="CD44">
        <f t="shared" si="53"/>
      </c>
      <c r="CE44">
        <f t="shared" si="54"/>
      </c>
      <c r="CF44">
        <f t="shared" si="55"/>
      </c>
      <c r="CG44">
        <f t="shared" si="56"/>
      </c>
      <c r="CH44">
        <f t="shared" si="57"/>
      </c>
      <c r="CI44">
        <f t="shared" si="58"/>
      </c>
      <c r="CJ44">
        <f t="shared" si="59"/>
      </c>
      <c r="CK44">
        <f t="shared" si="60"/>
      </c>
      <c r="CL44">
        <f t="shared" si="61"/>
      </c>
      <c r="CM44">
        <f t="shared" si="62"/>
      </c>
      <c r="CN44">
        <f t="shared" si="63"/>
      </c>
      <c r="CO44">
        <f t="shared" si="64"/>
      </c>
      <c r="CP44">
        <f t="shared" si="65"/>
      </c>
      <c r="CQ44">
        <f t="shared" si="66"/>
      </c>
      <c r="CR44">
        <f t="shared" si="67"/>
      </c>
      <c r="CS44">
        <f t="shared" si="68"/>
      </c>
      <c r="CT44">
        <f t="shared" si="69"/>
      </c>
      <c r="CU44">
        <f t="shared" si="70"/>
      </c>
      <c r="CV44">
        <f t="shared" si="71"/>
      </c>
      <c r="CW44">
        <f t="shared" si="72"/>
      </c>
      <c r="CX44">
        <f t="shared" si="73"/>
      </c>
      <c r="CY44">
        <f t="shared" si="74"/>
      </c>
      <c r="CZ44">
        <f t="shared" si="75"/>
      </c>
      <c r="DA44">
        <f t="shared" si="76"/>
      </c>
      <c r="DB44">
        <f t="shared" si="77"/>
      </c>
      <c r="DC44">
        <f t="shared" si="78"/>
      </c>
      <c r="DD44">
        <f t="shared" si="79"/>
      </c>
      <c r="DE44">
        <f t="shared" si="80"/>
      </c>
      <c r="DF44">
        <f t="shared" si="81"/>
      </c>
      <c r="DG44">
        <f t="shared" si="82"/>
      </c>
      <c r="DH44">
        <f t="shared" si="83"/>
      </c>
      <c r="DI44">
        <f t="shared" si="84"/>
      </c>
      <c r="DK44" t="str">
        <f>AV44</f>
        <v>Italie</v>
      </c>
      <c r="DL44">
        <f>IF(AW44="",0,RANK(AW44,AW44:AW47,1))</f>
        <v>0</v>
      </c>
      <c r="DM44">
        <f t="shared" si="95"/>
      </c>
      <c r="DN44" t="str">
        <f>DK44</f>
        <v>Italie</v>
      </c>
      <c r="DO44">
        <v>1</v>
      </c>
      <c r="DP44" t="e">
        <f>VLOOKUP(DO44,DL44:DN47,3,FALSE)</f>
        <v>#N/A</v>
      </c>
      <c r="DQ44" t="e">
        <f>VLOOKUP(DP44,DK44:DL47,2,FALSE)</f>
        <v>#N/A</v>
      </c>
      <c r="DR44" t="b">
        <f>ISERROR(DP44)</f>
        <v>1</v>
      </c>
      <c r="DS44" t="str">
        <f>IF(DM48="2p1",DO48,EN44)</f>
        <v>Italie</v>
      </c>
      <c r="DT44">
        <f>IF(DL44=1,DK44,"")</f>
      </c>
      <c r="DW44">
        <f>IF(DL44=2,2,"")</f>
      </c>
      <c r="EC44">
        <f>IF(ED44="","",1)</f>
      </c>
      <c r="ED44">
        <f>IF(DL44=2,DK44,"")</f>
      </c>
      <c r="EI44">
        <f>IF(EJ44="","",1)</f>
      </c>
      <c r="EJ44">
        <f>IF(DL44=1,DK44,"")</f>
      </c>
      <c r="EN44" t="str">
        <f>IF(EI48="3p1",EJ48,EP44)</f>
        <v>Italie</v>
      </c>
      <c r="EP44" t="str">
        <f>IF(EO48="4p1",DK44,AH44)</f>
        <v>Italie</v>
      </c>
      <c r="EQ44">
        <f>IF(DL44=3,3,"")</f>
      </c>
      <c r="FB44" s="210"/>
      <c r="FC44" s="7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</row>
    <row r="45" spans="1:181" ht="15">
      <c r="A45" s="62" t="s">
        <v>73</v>
      </c>
      <c r="B45" s="66" t="s">
        <v>75</v>
      </c>
      <c r="C45" s="2">
        <v>12</v>
      </c>
      <c r="D45" s="4">
        <f t="shared" si="116"/>
      </c>
      <c r="E45" s="93" t="str">
        <f>VLOOKUP(A45,Tirage!$D$1:$F$40,3,FALSE)</f>
        <v>Nouvelle-Zélande</v>
      </c>
      <c r="F45" s="243"/>
      <c r="G45" s="243"/>
      <c r="H45" s="295" t="str">
        <f>VLOOKUP(B45,Tirage!$D$1:$F$40,3,FALSE)</f>
        <v>Slovaquie</v>
      </c>
      <c r="I45" s="302"/>
      <c r="J45" s="4">
        <f t="shared" si="117"/>
      </c>
      <c r="K45" s="198">
        <v>39979</v>
      </c>
      <c r="L45" s="199" t="s">
        <v>104</v>
      </c>
      <c r="M45" s="200">
        <v>0.5625</v>
      </c>
      <c r="N45" s="270">
        <f>IF(AND(OR(DM48="2P1",EI48="3P1",EO48="4P1",DW48="2P2",EC48="3P2"),AG49=1),"Tirage",2)</f>
        <v>2</v>
      </c>
      <c r="O45" s="11"/>
      <c r="P45" s="11"/>
      <c r="Q45" s="28" t="str">
        <f>DS45</f>
        <v>Paraguay</v>
      </c>
      <c r="R45" s="172">
        <f>IF(W45="","",VLOOKUP(Q45,V44:Y47,2,FALSE))</f>
      </c>
      <c r="S45" s="172">
        <f>IF(X45="","",VLOOKUP(Q45,V44:Y47,3,FALSE))</f>
      </c>
      <c r="T45" s="173">
        <f>IF($Y$4="","",VLOOKUP(Q45,V44:Y47,4,FALSE))</f>
      </c>
      <c r="V45" t="str">
        <f>H44</f>
        <v>Paraguay</v>
      </c>
      <c r="W45">
        <f>IF(F44="","",SUM(J44,J46,D49))</f>
      </c>
      <c r="X45">
        <f>IF(F44="","",SUM(G44-F44+G46-F46+F49-G49))</f>
      </c>
      <c r="Y45">
        <f>IF(F44="","",SUM(G44,G46,F49))</f>
      </c>
      <c r="AH45" t="str">
        <f>IF(DR45=TRUE,V45,DP45)</f>
        <v>Paraguay</v>
      </c>
      <c r="AI45">
        <f t="shared" si="118"/>
      </c>
      <c r="AJ45">
        <f t="shared" si="119"/>
        <v>1</v>
      </c>
      <c r="AK45">
        <f t="shared" si="120"/>
        <v>1</v>
      </c>
      <c r="AL45">
        <f t="shared" si="121"/>
      </c>
      <c r="AN45">
        <f t="shared" si="122"/>
      </c>
      <c r="AO45">
        <f t="shared" si="123"/>
        <v>1</v>
      </c>
      <c r="AP45">
        <f t="shared" si="124"/>
        <v>1</v>
      </c>
      <c r="AQ45">
        <f t="shared" si="125"/>
      </c>
      <c r="AR45" t="str">
        <f>V45</f>
        <v>Paraguay</v>
      </c>
      <c r="AS45">
        <f>IF(W45="","",RANK(W45,W44:W47))</f>
      </c>
      <c r="AT45">
        <f>IF(X45="","",RANK(X45,X44:X47))</f>
      </c>
      <c r="AU45">
        <f>IF(Y45="","",RANK(Y45,Y44:Y47))</f>
      </c>
      <c r="AV45" t="str">
        <f>AR45</f>
        <v>Paraguay</v>
      </c>
      <c r="AW45">
        <f>IF(AS45="","",AX45)</f>
      </c>
      <c r="AX45">
        <f t="shared" si="21"/>
      </c>
      <c r="AY45">
        <f t="shared" si="22"/>
      </c>
      <c r="AZ45">
        <f t="shared" si="23"/>
      </c>
      <c r="BA45">
        <f t="shared" si="24"/>
      </c>
      <c r="BB45">
        <f t="shared" si="25"/>
      </c>
      <c r="BC45">
        <f t="shared" si="26"/>
      </c>
      <c r="BD45">
        <f t="shared" si="27"/>
      </c>
      <c r="BE45">
        <f t="shared" si="28"/>
      </c>
      <c r="BF45">
        <f t="shared" si="29"/>
      </c>
      <c r="BG45">
        <f t="shared" si="30"/>
      </c>
      <c r="BH45">
        <f t="shared" si="31"/>
      </c>
      <c r="BI45">
        <f t="shared" si="32"/>
      </c>
      <c r="BJ45">
        <f t="shared" si="33"/>
      </c>
      <c r="BK45">
        <f t="shared" si="34"/>
      </c>
      <c r="BL45">
        <f t="shared" si="35"/>
      </c>
      <c r="BM45">
        <f t="shared" si="36"/>
      </c>
      <c r="BN45">
        <f t="shared" si="37"/>
      </c>
      <c r="BO45">
        <f t="shared" si="38"/>
      </c>
      <c r="BP45">
        <f t="shared" si="39"/>
      </c>
      <c r="BQ45">
        <f t="shared" si="40"/>
      </c>
      <c r="BR45">
        <f t="shared" si="41"/>
      </c>
      <c r="BS45">
        <f t="shared" si="42"/>
      </c>
      <c r="BT45">
        <f t="shared" si="43"/>
      </c>
      <c r="BU45">
        <f t="shared" si="44"/>
      </c>
      <c r="BV45">
        <f t="shared" si="45"/>
      </c>
      <c r="BW45">
        <f t="shared" si="46"/>
      </c>
      <c r="BX45">
        <f t="shared" si="47"/>
      </c>
      <c r="BY45">
        <f t="shared" si="48"/>
      </c>
      <c r="BZ45">
        <f t="shared" si="49"/>
      </c>
      <c r="CA45">
        <f t="shared" si="50"/>
      </c>
      <c r="CB45">
        <f t="shared" si="51"/>
      </c>
      <c r="CC45">
        <f t="shared" si="52"/>
      </c>
      <c r="CD45">
        <f t="shared" si="53"/>
      </c>
      <c r="CE45">
        <f t="shared" si="54"/>
      </c>
      <c r="CF45">
        <f t="shared" si="55"/>
      </c>
      <c r="CG45">
        <f t="shared" si="56"/>
      </c>
      <c r="CH45">
        <f t="shared" si="57"/>
      </c>
      <c r="CI45">
        <f t="shared" si="58"/>
      </c>
      <c r="CJ45">
        <f t="shared" si="59"/>
      </c>
      <c r="CK45">
        <f t="shared" si="60"/>
      </c>
      <c r="CL45">
        <f t="shared" si="61"/>
      </c>
      <c r="CM45">
        <f t="shared" si="62"/>
      </c>
      <c r="CN45">
        <f t="shared" si="63"/>
      </c>
      <c r="CO45">
        <f t="shared" si="64"/>
      </c>
      <c r="CP45">
        <f t="shared" si="65"/>
      </c>
      <c r="CQ45">
        <f t="shared" si="66"/>
      </c>
      <c r="CR45">
        <f t="shared" si="67"/>
      </c>
      <c r="CS45">
        <f t="shared" si="68"/>
      </c>
      <c r="CT45">
        <f t="shared" si="69"/>
      </c>
      <c r="CU45">
        <f t="shared" si="70"/>
      </c>
      <c r="CV45">
        <f t="shared" si="71"/>
      </c>
      <c r="CW45">
        <f t="shared" si="72"/>
      </c>
      <c r="CX45">
        <f t="shared" si="73"/>
      </c>
      <c r="CY45">
        <f t="shared" si="74"/>
      </c>
      <c r="CZ45">
        <f t="shared" si="75"/>
      </c>
      <c r="DA45">
        <f t="shared" si="76"/>
      </c>
      <c r="DB45">
        <f t="shared" si="77"/>
      </c>
      <c r="DC45">
        <f t="shared" si="78"/>
      </c>
      <c r="DD45">
        <f t="shared" si="79"/>
      </c>
      <c r="DE45">
        <f t="shared" si="80"/>
      </c>
      <c r="DF45">
        <f t="shared" si="81"/>
      </c>
      <c r="DG45">
        <f t="shared" si="82"/>
      </c>
      <c r="DH45">
        <f t="shared" si="83"/>
      </c>
      <c r="DI45">
        <f t="shared" si="84"/>
      </c>
      <c r="DK45" t="str">
        <f>AV45</f>
        <v>Paraguay</v>
      </c>
      <c r="DL45">
        <f>IF(AW45="",0,RANK(AW45,AW44:AW47,1))</f>
        <v>0</v>
      </c>
      <c r="DM45">
        <f t="shared" si="95"/>
      </c>
      <c r="DN45" t="str">
        <f>DK45</f>
        <v>Paraguay</v>
      </c>
      <c r="DO45">
        <v>2</v>
      </c>
      <c r="DP45" t="e">
        <f>VLOOKUP(DO45,DL44:DN47,3,FALSE)</f>
        <v>#N/A</v>
      </c>
      <c r="DQ45" t="e">
        <f>VLOOKUP(DP45,DK44:DL47,2,FALSE)</f>
        <v>#N/A</v>
      </c>
      <c r="DR45" t="b">
        <f>ISERROR(DP45)</f>
        <v>1</v>
      </c>
      <c r="DS45" t="str">
        <f>IF(DM48="2p1",DO49,DX45)</f>
        <v>Paraguay</v>
      </c>
      <c r="DT45">
        <f>IF(DL45=1,DK45,"")</f>
      </c>
      <c r="DW45">
        <f>IF(DL45=2,2,"")</f>
      </c>
      <c r="DX45" t="str">
        <f>IF(DW48="2p2",DY48,EH45)</f>
        <v>Paraguay</v>
      </c>
      <c r="EC45">
        <f>IF(ED45="","",2)</f>
      </c>
      <c r="ED45">
        <f>IF(DL45=2,DK45,"")</f>
      </c>
      <c r="EH45" t="str">
        <f>IF(EC48="3p2",ED48,EN45)</f>
        <v>Paraguay</v>
      </c>
      <c r="EI45">
        <f>IF(EJ45="","",2)</f>
      </c>
      <c r="EJ45">
        <f>IF(DL45=1,DK45,"")</f>
      </c>
      <c r="EN45" t="str">
        <f>IF(EI48="3p1",EK48,EP45)</f>
        <v>Paraguay</v>
      </c>
      <c r="EP45" t="str">
        <f>IF(EO48="4p1",DK45,AH45)</f>
        <v>Paraguay</v>
      </c>
      <c r="EQ45">
        <f>IF(DL45=3,3,"")</f>
      </c>
      <c r="FB45" s="210"/>
      <c r="FC45" s="7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</row>
    <row r="46" spans="1:181" ht="15">
      <c r="A46" s="62" t="s">
        <v>75</v>
      </c>
      <c r="B46" s="66" t="s">
        <v>23</v>
      </c>
      <c r="C46" s="2">
        <v>27</v>
      </c>
      <c r="D46" s="4">
        <f t="shared" si="116"/>
      </c>
      <c r="E46" s="93" t="str">
        <f>VLOOKUP(A46,Tirage!$D$1:$F$40,3,FALSE)</f>
        <v>Slovaquie</v>
      </c>
      <c r="F46" s="243"/>
      <c r="G46" s="243"/>
      <c r="H46" s="295" t="str">
        <f>VLOOKUP(B46,Tirage!$D$1:$F$40,3,FALSE)</f>
        <v>Paraguay</v>
      </c>
      <c r="I46" s="302"/>
      <c r="J46" s="4">
        <f t="shared" si="117"/>
      </c>
      <c r="K46" s="198">
        <v>39984</v>
      </c>
      <c r="L46" s="204" t="s">
        <v>105</v>
      </c>
      <c r="M46" s="200">
        <v>0.5625</v>
      </c>
      <c r="N46" s="270">
        <f>IF(AND(OR(EI48="3P1",EO48="4P1",DW48="2P2",EC48="3P2"),AG49=1),"Tirage",3)</f>
        <v>3</v>
      </c>
      <c r="O46" s="11"/>
      <c r="P46" s="11"/>
      <c r="Q46" s="28" t="str">
        <f>DS46</f>
        <v>Nouvelle-Zélande</v>
      </c>
      <c r="R46" s="172">
        <f>IF(W46="","",VLOOKUP(Q46,V44:Y47,2,FALSE))</f>
      </c>
      <c r="S46" s="172">
        <f>IF(X46="","",VLOOKUP(Q46,V44:Y47,3,FALSE))</f>
      </c>
      <c r="T46" s="173">
        <f>IF($Y$4="","",VLOOKUP(Q46,V44:Y47,4,FALSE))</f>
      </c>
      <c r="V46" t="str">
        <f>E45</f>
        <v>Nouvelle-Zélande</v>
      </c>
      <c r="W46">
        <f>IF(F45="","",SUM(D45,J47,J49))</f>
      </c>
      <c r="X46">
        <f>IF(F45="","",SUM(F45-G45+G47-F47+G49-F49))</f>
      </c>
      <c r="Y46">
        <f>IF(F45="","",SUM(F45,G47,G49))</f>
      </c>
      <c r="AH46" t="str">
        <f>IF(DR46=TRUE,V46,DP46)</f>
        <v>Nouvelle-Zélande</v>
      </c>
      <c r="AI46">
        <f t="shared" si="118"/>
      </c>
      <c r="AJ46">
        <f t="shared" si="119"/>
        <v>1</v>
      </c>
      <c r="AK46">
        <f t="shared" si="120"/>
        <v>1</v>
      </c>
      <c r="AL46">
        <f t="shared" si="121"/>
      </c>
      <c r="AN46">
        <f t="shared" si="122"/>
      </c>
      <c r="AO46">
        <f t="shared" si="123"/>
        <v>1</v>
      </c>
      <c r="AP46">
        <f t="shared" si="124"/>
        <v>1</v>
      </c>
      <c r="AQ46">
        <f t="shared" si="125"/>
      </c>
      <c r="AR46" t="str">
        <f>V46</f>
        <v>Nouvelle-Zélande</v>
      </c>
      <c r="AS46">
        <f>IF(W46="","",RANK(W46,W44:W47))</f>
      </c>
      <c r="AT46">
        <f>IF(X46="","",RANK(X46,X44:X47))</f>
      </c>
      <c r="AU46">
        <f>IF(Y46="","",RANK(Y46,Y44:Y47))</f>
      </c>
      <c r="AV46" t="str">
        <f>AR46</f>
        <v>Nouvelle-Zélande</v>
      </c>
      <c r="AW46">
        <f>IF(AS46="","",AX46)</f>
      </c>
      <c r="AX46">
        <f t="shared" si="21"/>
      </c>
      <c r="AY46">
        <f t="shared" si="22"/>
      </c>
      <c r="AZ46">
        <f t="shared" si="23"/>
      </c>
      <c r="BA46">
        <f t="shared" si="24"/>
      </c>
      <c r="BB46">
        <f t="shared" si="25"/>
      </c>
      <c r="BC46">
        <f t="shared" si="26"/>
      </c>
      <c r="BD46">
        <f t="shared" si="27"/>
      </c>
      <c r="BE46">
        <f t="shared" si="28"/>
      </c>
      <c r="BF46">
        <f t="shared" si="29"/>
      </c>
      <c r="BG46">
        <f t="shared" si="30"/>
      </c>
      <c r="BH46">
        <f t="shared" si="31"/>
      </c>
      <c r="BI46">
        <f t="shared" si="32"/>
      </c>
      <c r="BJ46">
        <f t="shared" si="33"/>
      </c>
      <c r="BK46">
        <f t="shared" si="34"/>
      </c>
      <c r="BL46">
        <f t="shared" si="35"/>
      </c>
      <c r="BM46">
        <f t="shared" si="36"/>
      </c>
      <c r="BN46">
        <f t="shared" si="37"/>
      </c>
      <c r="BO46">
        <f t="shared" si="38"/>
      </c>
      <c r="BP46">
        <f t="shared" si="39"/>
      </c>
      <c r="BQ46">
        <f t="shared" si="40"/>
      </c>
      <c r="BR46">
        <f t="shared" si="41"/>
      </c>
      <c r="BS46">
        <f t="shared" si="42"/>
      </c>
      <c r="BT46">
        <f t="shared" si="43"/>
      </c>
      <c r="BU46">
        <f t="shared" si="44"/>
      </c>
      <c r="BV46">
        <f t="shared" si="45"/>
      </c>
      <c r="BW46">
        <f t="shared" si="46"/>
      </c>
      <c r="BX46">
        <f t="shared" si="47"/>
      </c>
      <c r="BY46">
        <f t="shared" si="48"/>
      </c>
      <c r="BZ46">
        <f t="shared" si="49"/>
      </c>
      <c r="CA46">
        <f t="shared" si="50"/>
      </c>
      <c r="CB46">
        <f t="shared" si="51"/>
      </c>
      <c r="CC46">
        <f t="shared" si="52"/>
      </c>
      <c r="CD46">
        <f t="shared" si="53"/>
      </c>
      <c r="CE46">
        <f t="shared" si="54"/>
      </c>
      <c r="CF46">
        <f t="shared" si="55"/>
      </c>
      <c r="CG46">
        <f t="shared" si="56"/>
      </c>
      <c r="CH46">
        <f t="shared" si="57"/>
      </c>
      <c r="CI46">
        <f t="shared" si="58"/>
      </c>
      <c r="CJ46">
        <f t="shared" si="59"/>
      </c>
      <c r="CK46">
        <f t="shared" si="60"/>
      </c>
      <c r="CL46">
        <f t="shared" si="61"/>
      </c>
      <c r="CM46">
        <f t="shared" si="62"/>
      </c>
      <c r="CN46">
        <f t="shared" si="63"/>
      </c>
      <c r="CO46">
        <f t="shared" si="64"/>
      </c>
      <c r="CP46">
        <f t="shared" si="65"/>
      </c>
      <c r="CQ46">
        <f t="shared" si="66"/>
      </c>
      <c r="CR46">
        <f t="shared" si="67"/>
      </c>
      <c r="CS46">
        <f t="shared" si="68"/>
      </c>
      <c r="CT46">
        <f t="shared" si="69"/>
      </c>
      <c r="CU46">
        <f t="shared" si="70"/>
      </c>
      <c r="CV46">
        <f t="shared" si="71"/>
      </c>
      <c r="CW46">
        <f t="shared" si="72"/>
      </c>
      <c r="CX46">
        <f t="shared" si="73"/>
      </c>
      <c r="CY46">
        <f t="shared" si="74"/>
      </c>
      <c r="CZ46">
        <f t="shared" si="75"/>
      </c>
      <c r="DA46">
        <f t="shared" si="76"/>
      </c>
      <c r="DB46">
        <f t="shared" si="77"/>
      </c>
      <c r="DC46">
        <f t="shared" si="78"/>
      </c>
      <c r="DD46">
        <f t="shared" si="79"/>
      </c>
      <c r="DE46">
        <f t="shared" si="80"/>
      </c>
      <c r="DF46">
        <f t="shared" si="81"/>
      </c>
      <c r="DG46">
        <f t="shared" si="82"/>
      </c>
      <c r="DH46">
        <f t="shared" si="83"/>
      </c>
      <c r="DI46">
        <f t="shared" si="84"/>
      </c>
      <c r="DK46" t="str">
        <f>AV46</f>
        <v>Nouvelle-Zélande</v>
      </c>
      <c r="DL46">
        <f>IF(AW46="",0,RANK(AW46,AW44:AW47,1))</f>
        <v>0</v>
      </c>
      <c r="DM46">
        <f t="shared" si="95"/>
      </c>
      <c r="DN46" t="str">
        <f>DK46</f>
        <v>Nouvelle-Zélande</v>
      </c>
      <c r="DO46">
        <v>3</v>
      </c>
      <c r="DP46" t="e">
        <f>VLOOKUP(DO46,DL44:DN47,3,FALSE)</f>
        <v>#N/A</v>
      </c>
      <c r="DQ46" t="e">
        <f>VLOOKUP(DP46,DK44:DL47,2,FALSE)</f>
        <v>#N/A</v>
      </c>
      <c r="DR46" t="b">
        <f>ISERROR(DP46)</f>
        <v>1</v>
      </c>
      <c r="DS46" t="str">
        <f>DX46</f>
        <v>Nouvelle-Zélande</v>
      </c>
      <c r="DT46">
        <f>IF(DL46=1,DK46,"")</f>
      </c>
      <c r="DW46">
        <f>IF(DL46=2,2,"")</f>
      </c>
      <c r="DX46" t="str">
        <f>IF(DW48="2p2",DY49,EH46)</f>
        <v>Nouvelle-Zélande</v>
      </c>
      <c r="EC46">
        <f>IF(ED46="","",3)</f>
      </c>
      <c r="ED46">
        <f>IF(DL46=2,DK46,"")</f>
      </c>
      <c r="EH46" t="str">
        <f>IF(EC48="3p2",EE48,EN46)</f>
        <v>Nouvelle-Zélande</v>
      </c>
      <c r="EI46">
        <f>IF(EJ46="","",3)</f>
      </c>
      <c r="EJ46">
        <f>IF(DL46=1,DK46,"")</f>
      </c>
      <c r="EN46" t="str">
        <f>IF(EI48="3p1",EL48,EP46)</f>
        <v>Nouvelle-Zélande</v>
      </c>
      <c r="EP46" t="str">
        <f>IF(EO48="4p1",DK46,ER46)</f>
        <v>Nouvelle-Zélande</v>
      </c>
      <c r="EQ46">
        <f>IF(DL46=3,3,"")</f>
      </c>
      <c r="ER46" t="str">
        <f>IF(EQ48="2p3",ES48,AH46)</f>
        <v>Nouvelle-Zélande</v>
      </c>
      <c r="FB46" s="210"/>
      <c r="FC46" s="7"/>
      <c r="FD46" s="210"/>
      <c r="FE46" s="210"/>
      <c r="FF46" s="210"/>
      <c r="FG46" s="210"/>
      <c r="FH46" s="220" t="s">
        <v>125</v>
      </c>
      <c r="FI46" s="210"/>
      <c r="FJ46" s="210" t="s">
        <v>130</v>
      </c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</row>
    <row r="47" spans="1:181" ht="15">
      <c r="A47" s="62" t="s">
        <v>22</v>
      </c>
      <c r="B47" s="66" t="s">
        <v>73</v>
      </c>
      <c r="C47" s="2">
        <v>28</v>
      </c>
      <c r="D47" s="4">
        <f t="shared" si="116"/>
      </c>
      <c r="E47" s="93" t="str">
        <f>VLOOKUP(A47,Tirage!$D$1:$F$40,3,FALSE)</f>
        <v>Italie</v>
      </c>
      <c r="F47" s="243"/>
      <c r="G47" s="243"/>
      <c r="H47" s="295" t="str">
        <f>VLOOKUP(B47,Tirage!$D$1:$F$40,3,FALSE)</f>
        <v>Nouvelle-Zélande</v>
      </c>
      <c r="I47" s="302"/>
      <c r="J47" s="4">
        <f t="shared" si="117"/>
      </c>
      <c r="K47" s="198">
        <v>39984</v>
      </c>
      <c r="L47" s="204" t="s">
        <v>108</v>
      </c>
      <c r="M47" s="200">
        <v>0.6666666666666666</v>
      </c>
      <c r="N47" s="270">
        <f>IF(AND(OR(EO48="4P1",EC48="3P2"),AG49=1),"Tirage",4)</f>
        <v>4</v>
      </c>
      <c r="O47" s="11"/>
      <c r="P47" s="11"/>
      <c r="Q47" s="29" t="str">
        <f>DS47</f>
        <v>Slovaquie</v>
      </c>
      <c r="R47" s="174">
        <f>IF(W47="","",VLOOKUP(Q47,V44:Y47,2,FALSE))</f>
      </c>
      <c r="S47" s="174">
        <f>IF(X47="","",VLOOKUP(Q47,V44:Y47,3,FALSE))</f>
      </c>
      <c r="T47" s="175">
        <f>IF($Y$4="","",VLOOKUP(Q47,V44:Y47,4,FALSE))</f>
      </c>
      <c r="V47" t="str">
        <f>H45</f>
        <v>Slovaquie</v>
      </c>
      <c r="W47">
        <f>IF(F45="","",SUM(J45,D46,D48))</f>
      </c>
      <c r="X47">
        <f>IF(F45="","",SUM(G45-F45+F46-G46+F48-G48))</f>
      </c>
      <c r="Y47">
        <f>IF(F45="","",SUM(G45,F46,F48))</f>
      </c>
      <c r="AH47" t="str">
        <f>IF(DR47=TRUE,V47,DP47)</f>
        <v>Slovaquie</v>
      </c>
      <c r="AI47">
        <f t="shared" si="118"/>
      </c>
      <c r="AJ47">
        <f t="shared" si="119"/>
        <v>1</v>
      </c>
      <c r="AK47">
        <f t="shared" si="120"/>
        <v>1</v>
      </c>
      <c r="AL47">
        <f t="shared" si="121"/>
      </c>
      <c r="AN47">
        <f t="shared" si="122"/>
      </c>
      <c r="AO47">
        <f t="shared" si="123"/>
        <v>1</v>
      </c>
      <c r="AP47">
        <f t="shared" si="124"/>
        <v>1</v>
      </c>
      <c r="AQ47">
        <f t="shared" si="125"/>
      </c>
      <c r="AR47" t="str">
        <f>V47</f>
        <v>Slovaquie</v>
      </c>
      <c r="AS47">
        <f>IF(W47="","",RANK(W47,W44:W47))</f>
      </c>
      <c r="AT47">
        <f>IF(X47="","",RANK(X47,X44:X47))</f>
      </c>
      <c r="AU47">
        <f>IF(Y47="","",RANK(Y47,$Y$44:$Y$47))</f>
      </c>
      <c r="AV47" t="str">
        <f>AR47</f>
        <v>Slovaquie</v>
      </c>
      <c r="AW47">
        <f>IF(AS47="","",AX47)</f>
      </c>
      <c r="AX47">
        <f t="shared" si="21"/>
      </c>
      <c r="AY47">
        <f t="shared" si="22"/>
      </c>
      <c r="AZ47">
        <f t="shared" si="23"/>
      </c>
      <c r="BA47">
        <f t="shared" si="24"/>
      </c>
      <c r="BB47">
        <f t="shared" si="25"/>
      </c>
      <c r="BC47">
        <f t="shared" si="26"/>
      </c>
      <c r="BD47">
        <f t="shared" si="27"/>
      </c>
      <c r="BE47">
        <f t="shared" si="28"/>
      </c>
      <c r="BF47">
        <f t="shared" si="29"/>
      </c>
      <c r="BG47">
        <f t="shared" si="30"/>
      </c>
      <c r="BH47">
        <f t="shared" si="31"/>
      </c>
      <c r="BI47">
        <f t="shared" si="32"/>
      </c>
      <c r="BJ47">
        <f t="shared" si="33"/>
      </c>
      <c r="BK47">
        <f t="shared" si="34"/>
      </c>
      <c r="BL47">
        <f t="shared" si="35"/>
      </c>
      <c r="BM47">
        <f t="shared" si="36"/>
      </c>
      <c r="BN47">
        <f t="shared" si="37"/>
      </c>
      <c r="BO47">
        <f t="shared" si="38"/>
      </c>
      <c r="BP47">
        <f t="shared" si="39"/>
      </c>
      <c r="BQ47">
        <f t="shared" si="40"/>
      </c>
      <c r="BR47">
        <f t="shared" si="41"/>
      </c>
      <c r="BS47">
        <f t="shared" si="42"/>
      </c>
      <c r="BT47">
        <f t="shared" si="43"/>
      </c>
      <c r="BU47">
        <f t="shared" si="44"/>
      </c>
      <c r="BV47">
        <f t="shared" si="45"/>
      </c>
      <c r="BW47">
        <f t="shared" si="46"/>
      </c>
      <c r="BX47">
        <f t="shared" si="47"/>
      </c>
      <c r="BY47">
        <f t="shared" si="48"/>
      </c>
      <c r="BZ47">
        <f t="shared" si="49"/>
      </c>
      <c r="CA47">
        <f t="shared" si="50"/>
      </c>
      <c r="CB47">
        <f t="shared" si="51"/>
      </c>
      <c r="CC47">
        <f t="shared" si="52"/>
      </c>
      <c r="CD47">
        <f t="shared" si="53"/>
      </c>
      <c r="CE47">
        <f t="shared" si="54"/>
      </c>
      <c r="CF47">
        <f t="shared" si="55"/>
      </c>
      <c r="CG47">
        <f t="shared" si="56"/>
      </c>
      <c r="CH47">
        <f t="shared" si="57"/>
      </c>
      <c r="CI47">
        <f t="shared" si="58"/>
      </c>
      <c r="CJ47">
        <f t="shared" si="59"/>
      </c>
      <c r="CK47">
        <f t="shared" si="60"/>
      </c>
      <c r="CL47">
        <f t="shared" si="61"/>
      </c>
      <c r="CM47">
        <f t="shared" si="62"/>
      </c>
      <c r="CN47">
        <f t="shared" si="63"/>
      </c>
      <c r="CO47">
        <f t="shared" si="64"/>
      </c>
      <c r="CP47">
        <f t="shared" si="65"/>
      </c>
      <c r="CQ47">
        <f t="shared" si="66"/>
      </c>
      <c r="CR47">
        <f t="shared" si="67"/>
      </c>
      <c r="CS47">
        <f t="shared" si="68"/>
      </c>
      <c r="CT47">
        <f t="shared" si="69"/>
      </c>
      <c r="CU47">
        <f t="shared" si="70"/>
      </c>
      <c r="CV47">
        <f t="shared" si="71"/>
      </c>
      <c r="CW47">
        <f t="shared" si="72"/>
      </c>
      <c r="CX47">
        <f t="shared" si="73"/>
      </c>
      <c r="CY47">
        <f t="shared" si="74"/>
      </c>
      <c r="CZ47">
        <f t="shared" si="75"/>
      </c>
      <c r="DA47">
        <f t="shared" si="76"/>
      </c>
      <c r="DB47">
        <f t="shared" si="77"/>
      </c>
      <c r="DC47">
        <f t="shared" si="78"/>
      </c>
      <c r="DD47">
        <f t="shared" si="79"/>
      </c>
      <c r="DE47">
        <f t="shared" si="80"/>
      </c>
      <c r="DF47">
        <f t="shared" si="81"/>
      </c>
      <c r="DG47">
        <f t="shared" si="82"/>
      </c>
      <c r="DH47">
        <f t="shared" si="83"/>
      </c>
      <c r="DI47">
        <f t="shared" si="84"/>
      </c>
      <c r="DK47" t="str">
        <f>AV47</f>
        <v>Slovaquie</v>
      </c>
      <c r="DL47">
        <f>IF(AW47="",0,RANK(AW47,AW44:AW47,1))</f>
        <v>0</v>
      </c>
      <c r="DM47">
        <f t="shared" si="95"/>
      </c>
      <c r="DN47" t="str">
        <f>DK47</f>
        <v>Slovaquie</v>
      </c>
      <c r="DO47">
        <v>4</v>
      </c>
      <c r="DP47" t="e">
        <f>VLOOKUP(DO47,DL44:DN47,3,FALSE)</f>
        <v>#N/A</v>
      </c>
      <c r="DQ47" t="e">
        <f>VLOOKUP(DP47,DK44:DL47,2,FALSE)</f>
        <v>#N/A</v>
      </c>
      <c r="DR47" t="b">
        <f>ISERROR(DP47)</f>
        <v>1</v>
      </c>
      <c r="DS47" t="str">
        <f>EH47</f>
        <v>Slovaquie</v>
      </c>
      <c r="DT47">
        <f>IF(DL47=1,DK47,"")</f>
      </c>
      <c r="DW47">
        <f>IF(DL47=2,2,"")</f>
      </c>
      <c r="EC47">
        <f>IF(ED47="","",4)</f>
      </c>
      <c r="ED47">
        <f>IF(DL47=2,DK47,"")</f>
      </c>
      <c r="EH47" t="str">
        <f>IF(EC48="3p2",EF48,EP47)</f>
        <v>Slovaquie</v>
      </c>
      <c r="EI47">
        <f>IF(EJ47="","",4)</f>
      </c>
      <c r="EJ47">
        <f>IF(DL47=1,DK47,"")</f>
      </c>
      <c r="EP47" t="str">
        <f>IF(EO48="4p1",DK47,ER47)</f>
        <v>Slovaquie</v>
      </c>
      <c r="EQ47">
        <f>IF(DL47=3,3,"")</f>
      </c>
      <c r="ER47" t="str">
        <f>IF(EQ48="2p3",ES49,AH47)</f>
        <v>Slovaquie</v>
      </c>
      <c r="FB47" s="210"/>
      <c r="FC47" s="7"/>
      <c r="FD47" s="210"/>
      <c r="FE47" s="210"/>
      <c r="FF47" s="210"/>
      <c r="FG47" s="210"/>
      <c r="FH47" s="210"/>
      <c r="FI47" s="210"/>
      <c r="FJ47" s="210"/>
      <c r="FK47" s="210"/>
      <c r="FL47" s="210"/>
      <c r="FM47" s="210"/>
      <c r="FN47" s="210"/>
      <c r="FO47" s="210"/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</row>
    <row r="48" spans="1:181" ht="15">
      <c r="A48" s="62" t="s">
        <v>75</v>
      </c>
      <c r="B48" s="66" t="s">
        <v>22</v>
      </c>
      <c r="C48" s="2">
        <v>43</v>
      </c>
      <c r="D48" s="4">
        <f t="shared" si="116"/>
      </c>
      <c r="E48" s="93" t="str">
        <f>VLOOKUP(A48,Tirage!$D$1:$F$40,3,FALSE)</f>
        <v>Slovaquie</v>
      </c>
      <c r="F48" s="243"/>
      <c r="G48" s="243"/>
      <c r="H48" s="295" t="str">
        <f>VLOOKUP(B48,Tirage!$D$1:$F$40,3,FALSE)</f>
        <v>Italie</v>
      </c>
      <c r="I48" s="302"/>
      <c r="J48" s="4">
        <f t="shared" si="117"/>
      </c>
      <c r="K48" s="198">
        <v>39988</v>
      </c>
      <c r="L48" s="204" t="s">
        <v>100</v>
      </c>
      <c r="M48" s="200">
        <v>0.6666666666666666</v>
      </c>
      <c r="N48" s="271" t="s">
        <v>119</v>
      </c>
      <c r="O48" s="69"/>
      <c r="P48" s="44"/>
      <c r="Q48" s="291">
        <f>IF(N44="Tirage","Résultat tirage:",AH48)</f>
      </c>
      <c r="R48" s="296"/>
      <c r="S48" s="296"/>
      <c r="T48" s="296"/>
      <c r="AH48">
        <f>IF(G49="","",AH44)</f>
      </c>
      <c r="AI48">
        <f t="shared" si="118"/>
      </c>
      <c r="AJ48">
        <f t="shared" si="119"/>
        <v>1</v>
      </c>
      <c r="AK48">
        <f t="shared" si="120"/>
        <v>1</v>
      </c>
      <c r="AL48">
        <f t="shared" si="121"/>
      </c>
      <c r="AN48">
        <f t="shared" si="122"/>
      </c>
      <c r="AO48">
        <f t="shared" si="123"/>
        <v>1</v>
      </c>
      <c r="AP48">
        <f t="shared" si="124"/>
        <v>1</v>
      </c>
      <c r="AQ48">
        <f t="shared" si="125"/>
      </c>
      <c r="DM48">
        <f>IF(SUM(DM44:DM47)=2,"2P1","")</f>
      </c>
      <c r="DO48">
        <f>IF(DT44="",DP48,DT44)</f>
      </c>
      <c r="DP48">
        <f>IF(DT45="",DQ48,DT45)</f>
      </c>
      <c r="DQ48">
        <f>IF(DT46="",DR48,DT46)</f>
      </c>
      <c r="DR48">
        <f>IF(DT47="","",DT47)</f>
      </c>
      <c r="DW48">
        <f>IF(SUM(DW44:DW47)=4,"2P2","")</f>
      </c>
      <c r="DY48">
        <f>IF(ED44="",DZ48,ED44)</f>
      </c>
      <c r="DZ48">
        <f>IF(ED45="",EA48,ED45)</f>
      </c>
      <c r="EA48">
        <f>IF(ED46="",EB48,ED46)</f>
      </c>
      <c r="EB48">
        <f>IF(ED47="","",ED47)</f>
      </c>
      <c r="EC48">
        <f>IF(SUM(DW44:DW47)=6,"3P2","")</f>
      </c>
      <c r="ED48">
        <f>IF(EC44=1,ED44,EE48)</f>
      </c>
      <c r="EE48">
        <f>IF(EC45=2,ED45,EF48)</f>
      </c>
      <c r="EF48">
        <f>IF(EC46=3,ED46,EG48)</f>
      </c>
      <c r="EG48">
        <f>IF(EC47=4,ED47,"")</f>
      </c>
      <c r="EI48">
        <f>IF(SUM(DM44:DM47)=3,"3P1","")</f>
      </c>
      <c r="EJ48">
        <f>IF(EI44=1,EJ44,EK48)</f>
      </c>
      <c r="EK48">
        <f>IF(EI45=2,EJ45,EL48)</f>
      </c>
      <c r="EL48">
        <f>IF(EI46=3,EJ46,EM48)</f>
      </c>
      <c r="EM48">
        <f>IF(EI47=4,EJ47,"")</f>
      </c>
      <c r="EO48">
        <f>IF(SUM(DM44:DM47)=4,"4P1","")</f>
      </c>
      <c r="EQ48">
        <f>IF(SUM(EQ44:EQ47)=6,"2P3","")</f>
      </c>
      <c r="FB48" s="210"/>
      <c r="FC48" s="7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</row>
    <row r="49" spans="1:181" ht="15">
      <c r="A49" s="63" t="s">
        <v>23</v>
      </c>
      <c r="B49" s="63" t="s">
        <v>73</v>
      </c>
      <c r="C49" s="5">
        <v>44</v>
      </c>
      <c r="D49" s="6">
        <f t="shared" si="116"/>
      </c>
      <c r="E49" s="94" t="str">
        <f>VLOOKUP(A49,Tirage!$D$1:$F$40,3,FALSE)</f>
        <v>Paraguay</v>
      </c>
      <c r="F49" s="244"/>
      <c r="G49" s="244"/>
      <c r="H49" s="306" t="str">
        <f>VLOOKUP(B49,Tirage!$D$1:$F$40,3,FALSE)</f>
        <v>Nouvelle-Zélande</v>
      </c>
      <c r="I49" s="300"/>
      <c r="J49" s="6">
        <f t="shared" si="117"/>
      </c>
      <c r="K49" s="201">
        <v>39988</v>
      </c>
      <c r="L49" s="202" t="s">
        <v>103</v>
      </c>
      <c r="M49" s="203">
        <v>0.6666666666666666</v>
      </c>
      <c r="N49" s="272" t="s">
        <v>120</v>
      </c>
      <c r="O49" s="109"/>
      <c r="P49" s="45"/>
      <c r="Q49" s="292">
        <f>IF(N45="Tirage","Résultat tirage:",AH49)</f>
      </c>
      <c r="R49" s="307"/>
      <c r="S49" s="307"/>
      <c r="T49" s="307"/>
      <c r="AG49">
        <f>IF(J49="","",1)</f>
      </c>
      <c r="AH49">
        <f>IF(G49="","",AH45)</f>
      </c>
      <c r="AI49">
        <f t="shared" si="118"/>
      </c>
      <c r="AJ49">
        <f t="shared" si="119"/>
        <v>1</v>
      </c>
      <c r="AK49">
        <f t="shared" si="120"/>
        <v>1</v>
      </c>
      <c r="AL49">
        <f t="shared" si="121"/>
      </c>
      <c r="AN49">
        <f t="shared" si="122"/>
      </c>
      <c r="AO49">
        <f t="shared" si="123"/>
        <v>1</v>
      </c>
      <c r="AP49">
        <f t="shared" si="124"/>
        <v>1</v>
      </c>
      <c r="AQ49">
        <f t="shared" si="125"/>
      </c>
      <c r="DO49">
        <f>IF(DT47="",DP49,DT47)</f>
      </c>
      <c r="DP49">
        <f>IF(DT46="",DQ49,DT46)</f>
      </c>
      <c r="DQ49">
        <f>IF(DT45="",DR49,DT45)</f>
      </c>
      <c r="DR49">
        <f>IF(DT44="","",DT44)</f>
      </c>
      <c r="DY49">
        <f>IF(ED47="",DZ49,ED47)</f>
      </c>
      <c r="DZ49">
        <f>IF(ED46="",EA49,ED46)</f>
      </c>
      <c r="EA49">
        <f>IF(ED45="",EB49,ED45)</f>
      </c>
      <c r="EB49">
        <f>IF(ED44="","",ED44)</f>
      </c>
      <c r="FB49" s="210"/>
      <c r="FC49" s="7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</row>
    <row r="50" spans="1:181" ht="15" hidden="1">
      <c r="A50" s="62"/>
      <c r="B50" s="62"/>
      <c r="C50" s="72"/>
      <c r="D50" s="54"/>
      <c r="E50" s="99"/>
      <c r="F50" s="100"/>
      <c r="G50" s="100"/>
      <c r="H50" s="100"/>
      <c r="I50" s="99"/>
      <c r="J50" s="54"/>
      <c r="K50" s="188"/>
      <c r="L50" s="73"/>
      <c r="M50" s="14"/>
      <c r="N50" s="67"/>
      <c r="O50" s="81"/>
      <c r="P50" s="81"/>
      <c r="Q50" s="75"/>
      <c r="R50" s="76"/>
      <c r="S50" s="76"/>
      <c r="T50" s="76"/>
      <c r="AX50">
        <v>111</v>
      </c>
      <c r="AY50">
        <v>112</v>
      </c>
      <c r="AZ50">
        <v>113</v>
      </c>
      <c r="BA50">
        <v>114</v>
      </c>
      <c r="BB50">
        <v>121</v>
      </c>
      <c r="BC50">
        <v>122</v>
      </c>
      <c r="BD50">
        <v>123</v>
      </c>
      <c r="BE50">
        <v>124</v>
      </c>
      <c r="BF50">
        <v>131</v>
      </c>
      <c r="BG50">
        <v>132</v>
      </c>
      <c r="BH50">
        <v>133</v>
      </c>
      <c r="BI50">
        <v>134</v>
      </c>
      <c r="BJ50">
        <v>141</v>
      </c>
      <c r="BK50">
        <v>142</v>
      </c>
      <c r="BL50">
        <v>143</v>
      </c>
      <c r="BM50">
        <v>144</v>
      </c>
      <c r="BN50">
        <v>211</v>
      </c>
      <c r="BO50">
        <v>212</v>
      </c>
      <c r="BP50">
        <v>213</v>
      </c>
      <c r="BQ50">
        <v>214</v>
      </c>
      <c r="BR50">
        <v>221</v>
      </c>
      <c r="BS50">
        <v>222</v>
      </c>
      <c r="BT50">
        <v>223</v>
      </c>
      <c r="BU50">
        <v>224</v>
      </c>
      <c r="BV50">
        <v>231</v>
      </c>
      <c r="BW50">
        <v>232</v>
      </c>
      <c r="BX50">
        <v>233</v>
      </c>
      <c r="BY50">
        <v>234</v>
      </c>
      <c r="BZ50">
        <v>241</v>
      </c>
      <c r="CA50">
        <v>242</v>
      </c>
      <c r="CB50">
        <v>243</v>
      </c>
      <c r="CC50">
        <v>244</v>
      </c>
      <c r="CD50">
        <v>311</v>
      </c>
      <c r="CE50">
        <v>312</v>
      </c>
      <c r="CF50">
        <v>313</v>
      </c>
      <c r="CG50">
        <v>314</v>
      </c>
      <c r="CH50">
        <v>321</v>
      </c>
      <c r="CI50">
        <v>322</v>
      </c>
      <c r="CJ50">
        <v>323</v>
      </c>
      <c r="CK50">
        <v>324</v>
      </c>
      <c r="CL50">
        <v>331</v>
      </c>
      <c r="CM50">
        <v>332</v>
      </c>
      <c r="CN50">
        <v>333</v>
      </c>
      <c r="CO50">
        <v>334</v>
      </c>
      <c r="CP50">
        <v>341</v>
      </c>
      <c r="CQ50">
        <v>342</v>
      </c>
      <c r="CR50">
        <v>343</v>
      </c>
      <c r="CS50">
        <v>344</v>
      </c>
      <c r="CT50">
        <v>411</v>
      </c>
      <c r="CU50">
        <v>412</v>
      </c>
      <c r="CV50">
        <v>413</v>
      </c>
      <c r="CW50">
        <v>414</v>
      </c>
      <c r="CX50">
        <v>421</v>
      </c>
      <c r="CY50">
        <v>422</v>
      </c>
      <c r="CZ50">
        <v>423</v>
      </c>
      <c r="DA50">
        <v>424</v>
      </c>
      <c r="DB50">
        <v>431</v>
      </c>
      <c r="DC50">
        <v>432</v>
      </c>
      <c r="DD50">
        <v>433</v>
      </c>
      <c r="DE50">
        <v>434</v>
      </c>
      <c r="DF50">
        <v>441</v>
      </c>
      <c r="DG50">
        <v>442</v>
      </c>
      <c r="DH50">
        <v>443</v>
      </c>
      <c r="DI50">
        <v>444</v>
      </c>
      <c r="DM50" t="s">
        <v>86</v>
      </c>
      <c r="DW50" t="s">
        <v>87</v>
      </c>
      <c r="EC50" t="s">
        <v>88</v>
      </c>
      <c r="EI50" t="s">
        <v>89</v>
      </c>
      <c r="EO50" t="s">
        <v>90</v>
      </c>
      <c r="EQ50" t="s">
        <v>91</v>
      </c>
      <c r="FB50" s="210"/>
      <c r="FC50" s="7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</row>
    <row r="51" spans="1:181" ht="15">
      <c r="A51" s="107"/>
      <c r="B51" s="61"/>
      <c r="C51" s="2"/>
      <c r="D51" s="136" t="s">
        <v>83</v>
      </c>
      <c r="E51" s="320" t="s">
        <v>7</v>
      </c>
      <c r="F51" s="321"/>
      <c r="G51" s="321"/>
      <c r="H51" s="321"/>
      <c r="I51" s="322"/>
      <c r="J51" s="136" t="s">
        <v>83</v>
      </c>
      <c r="K51" s="194" t="s">
        <v>11</v>
      </c>
      <c r="L51" s="133" t="s">
        <v>12</v>
      </c>
      <c r="M51" s="134" t="s">
        <v>13</v>
      </c>
      <c r="N51" s="352" t="s">
        <v>137</v>
      </c>
      <c r="O51" s="353"/>
      <c r="P51" s="353"/>
      <c r="Q51" s="354"/>
      <c r="R51" s="135" t="s">
        <v>83</v>
      </c>
      <c r="S51" s="284" t="s">
        <v>84</v>
      </c>
      <c r="T51" s="135" t="s">
        <v>85</v>
      </c>
      <c r="W51" t="s">
        <v>83</v>
      </c>
      <c r="X51" t="s">
        <v>84</v>
      </c>
      <c r="Y51" t="s">
        <v>85</v>
      </c>
      <c r="AI51" t="s">
        <v>92</v>
      </c>
      <c r="AJ51" t="s">
        <v>93</v>
      </c>
      <c r="AK51" t="s">
        <v>94</v>
      </c>
      <c r="AL51" t="s">
        <v>95</v>
      </c>
      <c r="AN51" t="s">
        <v>92</v>
      </c>
      <c r="AO51" t="s">
        <v>93</v>
      </c>
      <c r="AP51" t="s">
        <v>94</v>
      </c>
      <c r="AQ51" t="s">
        <v>95</v>
      </c>
      <c r="AS51" t="s">
        <v>96</v>
      </c>
      <c r="AT51" t="s">
        <v>97</v>
      </c>
      <c r="AU51" t="s">
        <v>98</v>
      </c>
      <c r="FB51" s="210"/>
      <c r="FC51" s="7"/>
      <c r="FD51" s="210"/>
      <c r="FE51" s="210"/>
      <c r="FF51" s="210"/>
      <c r="FG51" s="210"/>
      <c r="FH51" s="210"/>
      <c r="FI51" s="210"/>
      <c r="FJ51" s="210"/>
      <c r="FK51" s="210"/>
      <c r="FL51" s="210"/>
      <c r="FM51" s="210"/>
      <c r="FN51" s="210"/>
      <c r="FO51" s="210"/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</row>
    <row r="52" spans="1:181" ht="15">
      <c r="A52" s="62" t="s">
        <v>78</v>
      </c>
      <c r="B52" s="66" t="s">
        <v>79</v>
      </c>
      <c r="C52" s="2">
        <v>13</v>
      </c>
      <c r="D52" s="3">
        <f aca="true" t="shared" si="126" ref="D52:D57">IF(F52="","",AI52)</f>
      </c>
      <c r="E52" s="95" t="str">
        <f>VLOOKUP(A52,Tirage!$D$1:$F$40,3,FALSE)</f>
        <v>Côte d'Ivoire</v>
      </c>
      <c r="F52" s="243"/>
      <c r="G52" s="243"/>
      <c r="H52" s="301" t="str">
        <f>VLOOKUP(B52,Tirage!$D$1:$F$40,3,FALSE)</f>
        <v>Portugal</v>
      </c>
      <c r="I52" s="302"/>
      <c r="J52" s="3">
        <f aca="true" t="shared" si="127" ref="J52:J57">IF(F52="","",AO52)</f>
      </c>
      <c r="K52" s="198">
        <v>39979</v>
      </c>
      <c r="L52" s="199" t="s">
        <v>106</v>
      </c>
      <c r="M52" s="200">
        <v>0.6666666666666666</v>
      </c>
      <c r="N52" s="267">
        <f>IF(AND(OR(DM56="2P1",EI56="3P1",EO56="4P1"),AG57=1),"Tirage",1)</f>
        <v>1</v>
      </c>
      <c r="O52" s="11"/>
      <c r="P52" s="11"/>
      <c r="Q52" s="30" t="str">
        <f>DS52</f>
        <v>Brésil</v>
      </c>
      <c r="R52" s="176">
        <f>IF(W52="","",VLOOKUP(Q52,V52:Y55,2,FALSE))</f>
      </c>
      <c r="S52" s="176">
        <f>IF(X52="","",VLOOKUP(Q52,V52:Y55,3,FALSE))</f>
      </c>
      <c r="T52" s="177">
        <f>IF($Y$4="","",VLOOKUP(Q52,V52:Y55,4,FALSE))</f>
      </c>
      <c r="V52" t="str">
        <f>E53</f>
        <v>Brésil</v>
      </c>
      <c r="W52">
        <f>IF(F53="","",SUM(D53,D54,J56))</f>
      </c>
      <c r="X52">
        <f>IF(F53="","",SUM((F53-G53)+(F54-G54)+(G56-F56)))</f>
      </c>
      <c r="Y52">
        <f>IF(F53="","",SUM(F53,F54,G56))</f>
      </c>
      <c r="AH52" t="str">
        <f>IF(DR52=TRUE,V52,DP52)</f>
        <v>Brésil</v>
      </c>
      <c r="AI52">
        <f aca="true" t="shared" si="128" ref="AI52:AI57">IF(G52="","",AJ52)</f>
      </c>
      <c r="AJ52">
        <f aca="true" t="shared" si="129" ref="AJ52:AJ57">IF(F52&lt;G52,0,AK52)</f>
        <v>1</v>
      </c>
      <c r="AK52">
        <f aca="true" t="shared" si="130" ref="AK52:AK57">IF(F52=G52,1,AL52)</f>
        <v>1</v>
      </c>
      <c r="AL52">
        <f aca="true" t="shared" si="131" ref="AL52:AL57">IF(F52&gt;G52,3,"")</f>
      </c>
      <c r="AN52">
        <f aca="true" t="shared" si="132" ref="AN52:AN57">IF(G52="","",AO52)</f>
      </c>
      <c r="AO52">
        <f aca="true" t="shared" si="133" ref="AO52:AO57">IF(G52&lt;F52,0,AP52)</f>
        <v>1</v>
      </c>
      <c r="AP52">
        <f aca="true" t="shared" si="134" ref="AP52:AP57">IF(G52=F52,1,AQ52)</f>
        <v>1</v>
      </c>
      <c r="AQ52">
        <f aca="true" t="shared" si="135" ref="AQ52:AQ57">IF(G52&gt;F52,3,"")</f>
      </c>
      <c r="AR52" t="str">
        <f>V52</f>
        <v>Brésil</v>
      </c>
      <c r="AS52">
        <f>IF(W52="","",RANK(W52,W52:W55))</f>
      </c>
      <c r="AT52">
        <f>IF(X52="","",RANK(X52,X52:X55))</f>
      </c>
      <c r="AU52">
        <f>IF(Y52="","",RANK(Y52,Y52:Y55))</f>
      </c>
      <c r="AV52" t="str">
        <f>AR52</f>
        <v>Brésil</v>
      </c>
      <c r="AW52">
        <f>IF(AS52="","",AX52)</f>
      </c>
      <c r="AX52">
        <f t="shared" si="21"/>
      </c>
      <c r="AY52">
        <f t="shared" si="22"/>
      </c>
      <c r="AZ52">
        <f t="shared" si="23"/>
      </c>
      <c r="BA52">
        <f t="shared" si="24"/>
      </c>
      <c r="BB52">
        <f t="shared" si="25"/>
      </c>
      <c r="BC52">
        <f t="shared" si="26"/>
      </c>
      <c r="BD52">
        <f t="shared" si="27"/>
      </c>
      <c r="BE52">
        <f t="shared" si="28"/>
      </c>
      <c r="BF52">
        <f t="shared" si="29"/>
      </c>
      <c r="BG52">
        <f t="shared" si="30"/>
      </c>
      <c r="BH52">
        <f t="shared" si="31"/>
      </c>
      <c r="BI52">
        <f t="shared" si="32"/>
      </c>
      <c r="BJ52">
        <f t="shared" si="33"/>
      </c>
      <c r="BK52">
        <f t="shared" si="34"/>
      </c>
      <c r="BL52">
        <f t="shared" si="35"/>
      </c>
      <c r="BM52">
        <f t="shared" si="36"/>
      </c>
      <c r="BN52">
        <f t="shared" si="37"/>
      </c>
      <c r="BO52">
        <f t="shared" si="38"/>
      </c>
      <c r="BP52">
        <f t="shared" si="39"/>
      </c>
      <c r="BQ52">
        <f t="shared" si="40"/>
      </c>
      <c r="BR52">
        <f t="shared" si="41"/>
      </c>
      <c r="BS52">
        <f t="shared" si="42"/>
      </c>
      <c r="BT52">
        <f t="shared" si="43"/>
      </c>
      <c r="BU52">
        <f t="shared" si="44"/>
      </c>
      <c r="BV52">
        <f t="shared" si="45"/>
      </c>
      <c r="BW52">
        <f t="shared" si="46"/>
      </c>
      <c r="BX52">
        <f t="shared" si="47"/>
      </c>
      <c r="BY52">
        <f t="shared" si="48"/>
      </c>
      <c r="BZ52">
        <f t="shared" si="49"/>
      </c>
      <c r="CA52">
        <f t="shared" si="50"/>
      </c>
      <c r="CB52">
        <f t="shared" si="51"/>
      </c>
      <c r="CC52">
        <f t="shared" si="52"/>
      </c>
      <c r="CD52">
        <f t="shared" si="53"/>
      </c>
      <c r="CE52">
        <f t="shared" si="54"/>
      </c>
      <c r="CF52">
        <f t="shared" si="55"/>
      </c>
      <c r="CG52">
        <f t="shared" si="56"/>
      </c>
      <c r="CH52">
        <f t="shared" si="57"/>
      </c>
      <c r="CI52">
        <f t="shared" si="58"/>
      </c>
      <c r="CJ52">
        <f t="shared" si="59"/>
      </c>
      <c r="CK52">
        <f t="shared" si="60"/>
      </c>
      <c r="CL52">
        <f t="shared" si="61"/>
      </c>
      <c r="CM52">
        <f t="shared" si="62"/>
      </c>
      <c r="CN52">
        <f t="shared" si="63"/>
      </c>
      <c r="CO52">
        <f t="shared" si="64"/>
      </c>
      <c r="CP52">
        <f t="shared" si="65"/>
      </c>
      <c r="CQ52">
        <f t="shared" si="66"/>
      </c>
      <c r="CR52">
        <f t="shared" si="67"/>
      </c>
      <c r="CS52">
        <f t="shared" si="68"/>
      </c>
      <c r="CT52">
        <f t="shared" si="69"/>
      </c>
      <c r="CU52">
        <f t="shared" si="70"/>
      </c>
      <c r="CV52">
        <f t="shared" si="71"/>
      </c>
      <c r="CW52">
        <f t="shared" si="72"/>
      </c>
      <c r="CX52">
        <f t="shared" si="73"/>
      </c>
      <c r="CY52">
        <f t="shared" si="74"/>
      </c>
      <c r="CZ52">
        <f t="shared" si="75"/>
      </c>
      <c r="DA52">
        <f t="shared" si="76"/>
      </c>
      <c r="DB52">
        <f t="shared" si="77"/>
      </c>
      <c r="DC52">
        <f t="shared" si="78"/>
      </c>
      <c r="DD52">
        <f t="shared" si="79"/>
      </c>
      <c r="DE52">
        <f t="shared" si="80"/>
      </c>
      <c r="DF52">
        <f t="shared" si="81"/>
      </c>
      <c r="DG52">
        <f t="shared" si="82"/>
      </c>
      <c r="DH52">
        <f t="shared" si="83"/>
      </c>
      <c r="DI52">
        <f t="shared" si="84"/>
      </c>
      <c r="DK52" t="str">
        <f>AV52</f>
        <v>Brésil</v>
      </c>
      <c r="DL52">
        <f>IF(AW52="",0,RANK(AW52,AW52:AW55,1))</f>
        <v>0</v>
      </c>
      <c r="DM52">
        <f t="shared" si="95"/>
      </c>
      <c r="DN52" t="str">
        <f>DK52</f>
        <v>Brésil</v>
      </c>
      <c r="DO52">
        <v>1</v>
      </c>
      <c r="DP52" t="e">
        <f>VLOOKUP(DO52,DL52:DN55,3,FALSE)</f>
        <v>#N/A</v>
      </c>
      <c r="DQ52" t="e">
        <f>VLOOKUP(DP52,DK52:DL55,2,FALSE)</f>
        <v>#N/A</v>
      </c>
      <c r="DR52" t="b">
        <f>ISERROR(DP52)</f>
        <v>1</v>
      </c>
      <c r="DS52" t="str">
        <f>IF(DM56="2p1",DO56,EN52)</f>
        <v>Brésil</v>
      </c>
      <c r="DT52">
        <f>IF(DL52=1,DK52,"")</f>
      </c>
      <c r="DW52">
        <f>IF(DL52=2,2,"")</f>
      </c>
      <c r="EC52">
        <f>IF(ED52="","",1)</f>
      </c>
      <c r="ED52">
        <f>IF(DL52=2,DK52,"")</f>
      </c>
      <c r="EI52">
        <f>IF(EJ52="","",1)</f>
      </c>
      <c r="EJ52">
        <f>IF(DL52=1,DK52,"")</f>
      </c>
      <c r="EN52" t="str">
        <f>IF(EI56="3p1",EJ56,EP52)</f>
        <v>Brésil</v>
      </c>
      <c r="EP52" t="str">
        <f>IF(EO56="4p1",DK52,AH52)</f>
        <v>Brésil</v>
      </c>
      <c r="EQ52">
        <f>IF(DL52=3,3,"")</f>
      </c>
      <c r="FB52" s="210"/>
      <c r="FC52" s="7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</row>
    <row r="53" spans="1:181" ht="15">
      <c r="A53" s="62" t="s">
        <v>24</v>
      </c>
      <c r="B53" s="66" t="s">
        <v>25</v>
      </c>
      <c r="C53" s="2">
        <v>14</v>
      </c>
      <c r="D53" s="4">
        <f t="shared" si="126"/>
      </c>
      <c r="E53" s="95" t="str">
        <f>VLOOKUP(A53,Tirage!$D$1:$F$40,3,FALSE)</f>
        <v>Brésil</v>
      </c>
      <c r="F53" s="243"/>
      <c r="G53" s="243"/>
      <c r="H53" s="301" t="str">
        <f>VLOOKUP(B53,Tirage!$D$1:$F$40,3,FALSE)</f>
        <v>RDP Corée</v>
      </c>
      <c r="I53" s="302"/>
      <c r="J53" s="4">
        <f t="shared" si="127"/>
      </c>
      <c r="K53" s="198">
        <v>39979</v>
      </c>
      <c r="L53" s="204" t="s">
        <v>100</v>
      </c>
      <c r="M53" s="200">
        <v>0.8541666666666666</v>
      </c>
      <c r="N53" s="268">
        <f>IF(AND(OR(DM56="2P1",EI56="3P1",EO56="4P1",DW56="2P2",EC56="3P2"),AG57=1),"Tirage",2)</f>
        <v>2</v>
      </c>
      <c r="O53" s="11"/>
      <c r="P53" s="11"/>
      <c r="Q53" s="31" t="str">
        <f>DS53</f>
        <v>RDP Corée</v>
      </c>
      <c r="R53" s="178">
        <f>IF(W53="","",VLOOKUP(Q53,V52:Y55,2,FALSE))</f>
      </c>
      <c r="S53" s="178">
        <f>IF(X53="","",VLOOKUP(Q53,V52:Y55,3,FALSE))</f>
      </c>
      <c r="T53" s="179">
        <f>IF($Y$4="","",VLOOKUP(Q53,V52:Y55,4,FALSE))</f>
      </c>
      <c r="V53" t="str">
        <f>H53</f>
        <v>RDP Corée</v>
      </c>
      <c r="W53">
        <f>IF(F53="","",SUM(J53,J55,D57))</f>
      </c>
      <c r="X53">
        <f>IF(F53="","",SUM(G53-F53+G55-F55+F57-G57))</f>
      </c>
      <c r="Y53">
        <f>IF(F53="","",SUM(G53,G55,F57))</f>
      </c>
      <c r="AH53" t="str">
        <f>IF(DR53=TRUE,V53,DP53)</f>
        <v>RDP Corée</v>
      </c>
      <c r="AI53">
        <f t="shared" si="128"/>
      </c>
      <c r="AJ53">
        <f t="shared" si="129"/>
        <v>1</v>
      </c>
      <c r="AK53">
        <f t="shared" si="130"/>
        <v>1</v>
      </c>
      <c r="AL53">
        <f t="shared" si="131"/>
      </c>
      <c r="AN53">
        <f t="shared" si="132"/>
      </c>
      <c r="AO53">
        <f t="shared" si="133"/>
        <v>1</v>
      </c>
      <c r="AP53">
        <f t="shared" si="134"/>
        <v>1</v>
      </c>
      <c r="AQ53">
        <f t="shared" si="135"/>
      </c>
      <c r="AR53" t="str">
        <f>V53</f>
        <v>RDP Corée</v>
      </c>
      <c r="AS53">
        <f>IF(W53="","",RANK(W53,W52:W55))</f>
      </c>
      <c r="AT53">
        <f>IF(X53="","",RANK(X53,X52:X55))</f>
      </c>
      <c r="AU53">
        <f>IF(Y53="","",RANK(Y53,Y52:Y55))</f>
      </c>
      <c r="AV53" t="str">
        <f>AR53</f>
        <v>RDP Corée</v>
      </c>
      <c r="AW53">
        <f>IF(AS53="","",AX53)</f>
      </c>
      <c r="AX53">
        <f t="shared" si="21"/>
      </c>
      <c r="AY53">
        <f t="shared" si="22"/>
      </c>
      <c r="AZ53">
        <f t="shared" si="23"/>
      </c>
      <c r="BA53">
        <f t="shared" si="24"/>
      </c>
      <c r="BB53">
        <f t="shared" si="25"/>
      </c>
      <c r="BC53">
        <f t="shared" si="26"/>
      </c>
      <c r="BD53">
        <f t="shared" si="27"/>
      </c>
      <c r="BE53">
        <f t="shared" si="28"/>
      </c>
      <c r="BF53">
        <f t="shared" si="29"/>
      </c>
      <c r="BG53">
        <f t="shared" si="30"/>
      </c>
      <c r="BH53">
        <f t="shared" si="31"/>
      </c>
      <c r="BI53">
        <f t="shared" si="32"/>
      </c>
      <c r="BJ53">
        <f t="shared" si="33"/>
      </c>
      <c r="BK53">
        <f t="shared" si="34"/>
      </c>
      <c r="BL53">
        <f t="shared" si="35"/>
      </c>
      <c r="BM53">
        <f t="shared" si="36"/>
      </c>
      <c r="BN53">
        <f t="shared" si="37"/>
      </c>
      <c r="BO53">
        <f t="shared" si="38"/>
      </c>
      <c r="BP53">
        <f t="shared" si="39"/>
      </c>
      <c r="BQ53">
        <f t="shared" si="40"/>
      </c>
      <c r="BR53">
        <f t="shared" si="41"/>
      </c>
      <c r="BS53">
        <f t="shared" si="42"/>
      </c>
      <c r="BT53">
        <f t="shared" si="43"/>
      </c>
      <c r="BU53">
        <f t="shared" si="44"/>
      </c>
      <c r="BV53">
        <f t="shared" si="45"/>
      </c>
      <c r="BW53">
        <f t="shared" si="46"/>
      </c>
      <c r="BX53">
        <f t="shared" si="47"/>
      </c>
      <c r="BY53">
        <f t="shared" si="48"/>
      </c>
      <c r="BZ53">
        <f t="shared" si="49"/>
      </c>
      <c r="CA53">
        <f t="shared" si="50"/>
      </c>
      <c r="CB53">
        <f t="shared" si="51"/>
      </c>
      <c r="CC53">
        <f t="shared" si="52"/>
      </c>
      <c r="CD53">
        <f t="shared" si="53"/>
      </c>
      <c r="CE53">
        <f t="shared" si="54"/>
      </c>
      <c r="CF53">
        <f t="shared" si="55"/>
      </c>
      <c r="CG53">
        <f t="shared" si="56"/>
      </c>
      <c r="CH53">
        <f t="shared" si="57"/>
      </c>
      <c r="CI53">
        <f t="shared" si="58"/>
      </c>
      <c r="CJ53">
        <f t="shared" si="59"/>
      </c>
      <c r="CK53">
        <f t="shared" si="60"/>
      </c>
      <c r="CL53">
        <f t="shared" si="61"/>
      </c>
      <c r="CM53">
        <f t="shared" si="62"/>
      </c>
      <c r="CN53">
        <f t="shared" si="63"/>
      </c>
      <c r="CO53">
        <f t="shared" si="64"/>
      </c>
      <c r="CP53">
        <f t="shared" si="65"/>
      </c>
      <c r="CQ53">
        <f t="shared" si="66"/>
      </c>
      <c r="CR53">
        <f t="shared" si="67"/>
      </c>
      <c r="CS53">
        <f t="shared" si="68"/>
      </c>
      <c r="CT53">
        <f t="shared" si="69"/>
      </c>
      <c r="CU53">
        <f t="shared" si="70"/>
      </c>
      <c r="CV53">
        <f t="shared" si="71"/>
      </c>
      <c r="CW53">
        <f t="shared" si="72"/>
      </c>
      <c r="CX53">
        <f t="shared" si="73"/>
      </c>
      <c r="CY53">
        <f t="shared" si="74"/>
      </c>
      <c r="CZ53">
        <f t="shared" si="75"/>
      </c>
      <c r="DA53">
        <f t="shared" si="76"/>
      </c>
      <c r="DB53">
        <f t="shared" si="77"/>
      </c>
      <c r="DC53">
        <f t="shared" si="78"/>
      </c>
      <c r="DD53">
        <f t="shared" si="79"/>
      </c>
      <c r="DE53">
        <f t="shared" si="80"/>
      </c>
      <c r="DF53">
        <f t="shared" si="81"/>
      </c>
      <c r="DG53">
        <f t="shared" si="82"/>
      </c>
      <c r="DH53">
        <f t="shared" si="83"/>
      </c>
      <c r="DI53">
        <f t="shared" si="84"/>
      </c>
      <c r="DK53" t="str">
        <f>AV53</f>
        <v>RDP Corée</v>
      </c>
      <c r="DL53">
        <f>IF(AW53="",0,RANK(AW53,AW52:AW55,1))</f>
        <v>0</v>
      </c>
      <c r="DM53">
        <f t="shared" si="95"/>
      </c>
      <c r="DN53" t="str">
        <f>DK53</f>
        <v>RDP Corée</v>
      </c>
      <c r="DO53">
        <v>2</v>
      </c>
      <c r="DP53" t="e">
        <f>VLOOKUP(DO53,DL52:DN55,3,FALSE)</f>
        <v>#N/A</v>
      </c>
      <c r="DQ53" t="e">
        <f>VLOOKUP(DP53,DK52:DL55,2,FALSE)</f>
        <v>#N/A</v>
      </c>
      <c r="DR53" t="b">
        <f>ISERROR(DP53)</f>
        <v>1</v>
      </c>
      <c r="DS53" t="str">
        <f>IF(DM56="2p1",DO57,DX53)</f>
        <v>RDP Corée</v>
      </c>
      <c r="DT53">
        <f>IF(DL53=1,DK53,"")</f>
      </c>
      <c r="DW53">
        <f>IF(DL53=2,2,"")</f>
      </c>
      <c r="DX53" t="str">
        <f>IF(DW56="2p2",DY56,EH53)</f>
        <v>RDP Corée</v>
      </c>
      <c r="EC53">
        <f>IF(ED53="","",2)</f>
      </c>
      <c r="ED53">
        <f>IF(DL53=2,DK53,"")</f>
      </c>
      <c r="EH53" t="str">
        <f>IF(EC56="3p2",ED56,EN53)</f>
        <v>RDP Corée</v>
      </c>
      <c r="EI53">
        <f>IF(EJ53="","",2)</f>
      </c>
      <c r="EJ53">
        <f>IF(DL53=1,DK53,"")</f>
      </c>
      <c r="EN53" t="str">
        <f>IF(EI56="3p1",EK56,EP53)</f>
        <v>RDP Corée</v>
      </c>
      <c r="EP53" t="str">
        <f>IF(EO56="4p1",DK53,AH53)</f>
        <v>RDP Corée</v>
      </c>
      <c r="EQ53">
        <f>IF(DL53=3,3,"")</f>
      </c>
      <c r="FB53" s="210"/>
      <c r="FC53" s="7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</row>
    <row r="54" spans="1:181" ht="15">
      <c r="A54" s="62" t="s">
        <v>24</v>
      </c>
      <c r="B54" s="66" t="s">
        <v>78</v>
      </c>
      <c r="C54" s="2">
        <v>29</v>
      </c>
      <c r="D54" s="4">
        <f t="shared" si="126"/>
      </c>
      <c r="E54" s="95" t="str">
        <f>VLOOKUP(A54,Tirage!$D$1:$F$40,3,FALSE)</f>
        <v>Brésil</v>
      </c>
      <c r="F54" s="243"/>
      <c r="G54" s="243"/>
      <c r="H54" s="301" t="str">
        <f>VLOOKUP(B54,Tirage!$D$1:$F$40,3,FALSE)</f>
        <v>Côte d'Ivoire</v>
      </c>
      <c r="I54" s="302"/>
      <c r="J54" s="4">
        <f t="shared" si="127"/>
      </c>
      <c r="K54" s="198">
        <v>39984</v>
      </c>
      <c r="L54" s="204" t="s">
        <v>100</v>
      </c>
      <c r="M54" s="200">
        <v>0.8541666666666666</v>
      </c>
      <c r="N54" s="268">
        <f>IF(AND(OR(EI56="3P1",EO56="4P1",DW56="2P2",EC56="3P2"),AG57=1),"Tirage",3)</f>
        <v>3</v>
      </c>
      <c r="O54" s="11"/>
      <c r="P54" s="11"/>
      <c r="Q54" s="31" t="str">
        <f>DS54</f>
        <v>Côte d'Ivoire</v>
      </c>
      <c r="R54" s="178">
        <f>IF(W54="","",VLOOKUP(Q54,V52:Y55,2,FALSE))</f>
      </c>
      <c r="S54" s="178">
        <f>IF(X54="","",VLOOKUP(Q54,V52:Y55,3,FALSE))</f>
      </c>
      <c r="T54" s="179">
        <f>IF($Y$4="","",VLOOKUP(Q54,V52:Y55,4,FALSE))</f>
      </c>
      <c r="V54" t="str">
        <f>E52</f>
        <v>Côte d'Ivoire</v>
      </c>
      <c r="W54">
        <f>IF(F52="","",SUM(D52,J54,J57))</f>
      </c>
      <c r="X54">
        <f>IF(F52="","",SUM(F52-G52+G54-F54+G57-F57))</f>
      </c>
      <c r="Y54">
        <f>IF(F52="","",SUM(F52,G54,G57))</f>
      </c>
      <c r="AH54" t="str">
        <f>IF(DR54=TRUE,V54,DP54)</f>
        <v>Côte d'Ivoire</v>
      </c>
      <c r="AI54">
        <f t="shared" si="128"/>
      </c>
      <c r="AJ54">
        <f t="shared" si="129"/>
        <v>1</v>
      </c>
      <c r="AK54">
        <f t="shared" si="130"/>
        <v>1</v>
      </c>
      <c r="AL54">
        <f t="shared" si="131"/>
      </c>
      <c r="AN54">
        <f t="shared" si="132"/>
      </c>
      <c r="AO54">
        <f t="shared" si="133"/>
        <v>1</v>
      </c>
      <c r="AP54">
        <f t="shared" si="134"/>
        <v>1</v>
      </c>
      <c r="AQ54">
        <f t="shared" si="135"/>
      </c>
      <c r="AR54" t="str">
        <f>V54</f>
        <v>Côte d'Ivoire</v>
      </c>
      <c r="AS54">
        <f>IF(W54="","",RANK(W54,W52:W55))</f>
      </c>
      <c r="AT54">
        <f>IF(X54="","",RANK(X54,X52:X55))</f>
      </c>
      <c r="AU54">
        <f>IF(Y54="","",RANK(Y54,Y52:Y55))</f>
      </c>
      <c r="AV54" t="str">
        <f>AR54</f>
        <v>Côte d'Ivoire</v>
      </c>
      <c r="AW54">
        <f>IF(AS54="","",AX54)</f>
      </c>
      <c r="AX54">
        <f t="shared" si="21"/>
      </c>
      <c r="AY54">
        <f t="shared" si="22"/>
      </c>
      <c r="AZ54">
        <f t="shared" si="23"/>
      </c>
      <c r="BA54">
        <f t="shared" si="24"/>
      </c>
      <c r="BB54">
        <f t="shared" si="25"/>
      </c>
      <c r="BC54">
        <f t="shared" si="26"/>
      </c>
      <c r="BD54">
        <f t="shared" si="27"/>
      </c>
      <c r="BE54">
        <f t="shared" si="28"/>
      </c>
      <c r="BF54">
        <f t="shared" si="29"/>
      </c>
      <c r="BG54">
        <f t="shared" si="30"/>
      </c>
      <c r="BH54">
        <f t="shared" si="31"/>
      </c>
      <c r="BI54">
        <f t="shared" si="32"/>
      </c>
      <c r="BJ54">
        <f t="shared" si="33"/>
      </c>
      <c r="BK54">
        <f t="shared" si="34"/>
      </c>
      <c r="BL54">
        <f t="shared" si="35"/>
      </c>
      <c r="BM54">
        <f t="shared" si="36"/>
      </c>
      <c r="BN54">
        <f t="shared" si="37"/>
      </c>
      <c r="BO54">
        <f t="shared" si="38"/>
      </c>
      <c r="BP54">
        <f t="shared" si="39"/>
      </c>
      <c r="BQ54">
        <f t="shared" si="40"/>
      </c>
      <c r="BR54">
        <f t="shared" si="41"/>
      </c>
      <c r="BS54">
        <f t="shared" si="42"/>
      </c>
      <c r="BT54">
        <f t="shared" si="43"/>
      </c>
      <c r="BU54">
        <f t="shared" si="44"/>
      </c>
      <c r="BV54">
        <f t="shared" si="45"/>
      </c>
      <c r="BW54">
        <f t="shared" si="46"/>
      </c>
      <c r="BX54">
        <f t="shared" si="47"/>
      </c>
      <c r="BY54">
        <f t="shared" si="48"/>
      </c>
      <c r="BZ54">
        <f t="shared" si="49"/>
      </c>
      <c r="CA54">
        <f t="shared" si="50"/>
      </c>
      <c r="CB54">
        <f t="shared" si="51"/>
      </c>
      <c r="CC54">
        <f t="shared" si="52"/>
      </c>
      <c r="CD54">
        <f t="shared" si="53"/>
      </c>
      <c r="CE54">
        <f t="shared" si="54"/>
      </c>
      <c r="CF54">
        <f t="shared" si="55"/>
      </c>
      <c r="CG54">
        <f t="shared" si="56"/>
      </c>
      <c r="CH54">
        <f t="shared" si="57"/>
      </c>
      <c r="CI54">
        <f t="shared" si="58"/>
      </c>
      <c r="CJ54">
        <f t="shared" si="59"/>
      </c>
      <c r="CK54">
        <f t="shared" si="60"/>
      </c>
      <c r="CL54">
        <f t="shared" si="61"/>
      </c>
      <c r="CM54">
        <f t="shared" si="62"/>
      </c>
      <c r="CN54">
        <f t="shared" si="63"/>
      </c>
      <c r="CO54">
        <f t="shared" si="64"/>
      </c>
      <c r="CP54">
        <f t="shared" si="65"/>
      </c>
      <c r="CQ54">
        <f t="shared" si="66"/>
      </c>
      <c r="CR54">
        <f t="shared" si="67"/>
      </c>
      <c r="CS54">
        <f t="shared" si="68"/>
      </c>
      <c r="CT54">
        <f t="shared" si="69"/>
      </c>
      <c r="CU54">
        <f t="shared" si="70"/>
      </c>
      <c r="CV54">
        <f t="shared" si="71"/>
      </c>
      <c r="CW54">
        <f t="shared" si="72"/>
      </c>
      <c r="CX54">
        <f t="shared" si="73"/>
      </c>
      <c r="CY54">
        <f t="shared" si="74"/>
      </c>
      <c r="CZ54">
        <f t="shared" si="75"/>
      </c>
      <c r="DA54">
        <f t="shared" si="76"/>
      </c>
      <c r="DB54">
        <f t="shared" si="77"/>
      </c>
      <c r="DC54">
        <f t="shared" si="78"/>
      </c>
      <c r="DD54">
        <f t="shared" si="79"/>
      </c>
      <c r="DE54">
        <f t="shared" si="80"/>
      </c>
      <c r="DF54">
        <f t="shared" si="81"/>
      </c>
      <c r="DG54">
        <f t="shared" si="82"/>
      </c>
      <c r="DH54">
        <f t="shared" si="83"/>
      </c>
      <c r="DI54">
        <f t="shared" si="84"/>
      </c>
      <c r="DK54" t="str">
        <f>AV54</f>
        <v>Côte d'Ivoire</v>
      </c>
      <c r="DL54">
        <f>IF(AW54="",0,RANK(AW54,AW52:AW55,1))</f>
        <v>0</v>
      </c>
      <c r="DM54">
        <f t="shared" si="95"/>
      </c>
      <c r="DN54" t="str">
        <f>DK54</f>
        <v>Côte d'Ivoire</v>
      </c>
      <c r="DO54">
        <v>3</v>
      </c>
      <c r="DP54" t="e">
        <f>VLOOKUP(DO54,DL52:DN55,3,FALSE)</f>
        <v>#N/A</v>
      </c>
      <c r="DQ54" t="e">
        <f>VLOOKUP(DP54,DK52:DL55,2,FALSE)</f>
        <v>#N/A</v>
      </c>
      <c r="DR54" t="b">
        <f>ISERROR(DP54)</f>
        <v>1</v>
      </c>
      <c r="DS54" t="str">
        <f>DX54</f>
        <v>Côte d'Ivoire</v>
      </c>
      <c r="DT54">
        <f>IF(DL54=1,DK54,"")</f>
      </c>
      <c r="DW54">
        <f>IF(DL54=2,2,"")</f>
      </c>
      <c r="DX54" t="str">
        <f>IF(DW56="2p2",DY57,EH54)</f>
        <v>Côte d'Ivoire</v>
      </c>
      <c r="EC54">
        <f>IF(ED54="","",3)</f>
      </c>
      <c r="ED54">
        <f>IF(DL54=2,DK54,"")</f>
      </c>
      <c r="EH54" t="str">
        <f>IF(EC56="3p2",EE56,EN54)</f>
        <v>Côte d'Ivoire</v>
      </c>
      <c r="EI54">
        <f>IF(EJ54="","",3)</f>
      </c>
      <c r="EJ54">
        <f>IF(DL54=1,DK54,"")</f>
      </c>
      <c r="EN54" t="str">
        <f>IF(EI56="3p1",EL56,EP54)</f>
        <v>Côte d'Ivoire</v>
      </c>
      <c r="EP54" t="str">
        <f>IF(EO56="4p1",DK54,ER54)</f>
        <v>Côte d'Ivoire</v>
      </c>
      <c r="EQ54">
        <f>IF(DL54=3,3,"")</f>
      </c>
      <c r="ER54" t="str">
        <f>IF(EQ56="2p3",ES56,AH54)</f>
        <v>Côte d'Ivoire</v>
      </c>
      <c r="FB54" s="210"/>
      <c r="FC54" s="7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</row>
    <row r="55" spans="1:181" ht="15">
      <c r="A55" s="62" t="s">
        <v>79</v>
      </c>
      <c r="B55" s="66" t="s">
        <v>25</v>
      </c>
      <c r="C55" s="2">
        <v>30</v>
      </c>
      <c r="D55" s="4">
        <f t="shared" si="126"/>
      </c>
      <c r="E55" s="95" t="str">
        <f>VLOOKUP(A55,Tirage!$D$1:$F$40,3,FALSE)</f>
        <v>Portugal</v>
      </c>
      <c r="F55" s="243"/>
      <c r="G55" s="243"/>
      <c r="H55" s="301" t="str">
        <f>VLOOKUP(B55,Tirage!$D$1:$F$40,3,FALSE)</f>
        <v>RDP Corée</v>
      </c>
      <c r="I55" s="302"/>
      <c r="J55" s="4">
        <f t="shared" si="127"/>
      </c>
      <c r="K55" s="198">
        <v>39985</v>
      </c>
      <c r="L55" s="199" t="s">
        <v>101</v>
      </c>
      <c r="M55" s="200">
        <v>0.5625</v>
      </c>
      <c r="N55" s="268">
        <f>IF(AND(OR(EO56="4P1",EC56="3P2"),AG57=1),"Tirage",4)</f>
        <v>4</v>
      </c>
      <c r="O55" s="11"/>
      <c r="P55" s="11"/>
      <c r="Q55" s="32" t="str">
        <f>DS55</f>
        <v>Portugal</v>
      </c>
      <c r="R55" s="180">
        <f>IF(W55="","",VLOOKUP(Q55,V52:Y55,2,FALSE))</f>
      </c>
      <c r="S55" s="180">
        <f>IF(X55="","",VLOOKUP(Q55,V52:Y55,3,FALSE))</f>
      </c>
      <c r="T55" s="181">
        <f>IF($Y$4="","",VLOOKUP(Q55,V52:Y55,4,FALSE))</f>
      </c>
      <c r="V55" t="str">
        <f>H52</f>
        <v>Portugal</v>
      </c>
      <c r="W55">
        <f>IF(F52="","",SUM(J52,D55,D56))</f>
      </c>
      <c r="X55">
        <f>IF(F52="","",SUM(G52-F52+F55-G55+F56-G56))</f>
      </c>
      <c r="Y55">
        <f>IF(F52="","",SUM(G52,F55,F56))</f>
      </c>
      <c r="AH55" t="str">
        <f>IF(DR55=TRUE,V55,DP55)</f>
        <v>Portugal</v>
      </c>
      <c r="AI55">
        <f t="shared" si="128"/>
      </c>
      <c r="AJ55">
        <f t="shared" si="129"/>
        <v>1</v>
      </c>
      <c r="AK55">
        <f t="shared" si="130"/>
        <v>1</v>
      </c>
      <c r="AL55">
        <f t="shared" si="131"/>
      </c>
      <c r="AN55">
        <f t="shared" si="132"/>
      </c>
      <c r="AO55">
        <f t="shared" si="133"/>
        <v>1</v>
      </c>
      <c r="AP55">
        <f t="shared" si="134"/>
        <v>1</v>
      </c>
      <c r="AQ55">
        <f t="shared" si="135"/>
      </c>
      <c r="AR55" t="str">
        <f>V55</f>
        <v>Portugal</v>
      </c>
      <c r="AS55">
        <f>IF(W55="","",RANK(W55,W52:W55))</f>
      </c>
      <c r="AT55">
        <f>IF(X55="","",RANK(X55,X52:X55))</f>
      </c>
      <c r="AU55">
        <f>IF(Y55="","",RANK(Y55,$Y$52:$Y$55))</f>
      </c>
      <c r="AV55" t="str">
        <f>AR55</f>
        <v>Portugal</v>
      </c>
      <c r="AW55">
        <f>IF(AS55="","",AX55)</f>
      </c>
      <c r="AX55">
        <f t="shared" si="21"/>
      </c>
      <c r="AY55">
        <f t="shared" si="22"/>
      </c>
      <c r="AZ55">
        <f t="shared" si="23"/>
      </c>
      <c r="BA55">
        <f t="shared" si="24"/>
      </c>
      <c r="BB55">
        <f t="shared" si="25"/>
      </c>
      <c r="BC55">
        <f t="shared" si="26"/>
      </c>
      <c r="BD55">
        <f t="shared" si="27"/>
      </c>
      <c r="BE55">
        <f t="shared" si="28"/>
      </c>
      <c r="BF55">
        <f t="shared" si="29"/>
      </c>
      <c r="BG55">
        <f t="shared" si="30"/>
      </c>
      <c r="BH55">
        <f t="shared" si="31"/>
      </c>
      <c r="BI55">
        <f t="shared" si="32"/>
      </c>
      <c r="BJ55">
        <f t="shared" si="33"/>
      </c>
      <c r="BK55">
        <f t="shared" si="34"/>
      </c>
      <c r="BL55">
        <f t="shared" si="35"/>
      </c>
      <c r="BM55">
        <f t="shared" si="36"/>
      </c>
      <c r="BN55">
        <f t="shared" si="37"/>
      </c>
      <c r="BO55">
        <f t="shared" si="38"/>
      </c>
      <c r="BP55">
        <f t="shared" si="39"/>
      </c>
      <c r="BQ55">
        <f t="shared" si="40"/>
      </c>
      <c r="BR55">
        <f t="shared" si="41"/>
      </c>
      <c r="BS55">
        <f t="shared" si="42"/>
      </c>
      <c r="BT55">
        <f t="shared" si="43"/>
      </c>
      <c r="BU55">
        <f t="shared" si="44"/>
      </c>
      <c r="BV55">
        <f t="shared" si="45"/>
      </c>
      <c r="BW55">
        <f t="shared" si="46"/>
      </c>
      <c r="BX55">
        <f t="shared" si="47"/>
      </c>
      <c r="BY55">
        <f t="shared" si="48"/>
      </c>
      <c r="BZ55">
        <f t="shared" si="49"/>
      </c>
      <c r="CA55">
        <f t="shared" si="50"/>
      </c>
      <c r="CB55">
        <f t="shared" si="51"/>
      </c>
      <c r="CC55">
        <f t="shared" si="52"/>
      </c>
      <c r="CD55">
        <f t="shared" si="53"/>
      </c>
      <c r="CE55">
        <f t="shared" si="54"/>
      </c>
      <c r="CF55">
        <f t="shared" si="55"/>
      </c>
      <c r="CG55">
        <f t="shared" si="56"/>
      </c>
      <c r="CH55">
        <f t="shared" si="57"/>
      </c>
      <c r="CI55">
        <f t="shared" si="58"/>
      </c>
      <c r="CJ55">
        <f t="shared" si="59"/>
      </c>
      <c r="CK55">
        <f t="shared" si="60"/>
      </c>
      <c r="CL55">
        <f t="shared" si="61"/>
      </c>
      <c r="CM55">
        <f t="shared" si="62"/>
      </c>
      <c r="CN55">
        <f t="shared" si="63"/>
      </c>
      <c r="CO55">
        <f t="shared" si="64"/>
      </c>
      <c r="CP55">
        <f t="shared" si="65"/>
      </c>
      <c r="CQ55">
        <f t="shared" si="66"/>
      </c>
      <c r="CR55">
        <f t="shared" si="67"/>
      </c>
      <c r="CS55">
        <f t="shared" si="68"/>
      </c>
      <c r="CT55">
        <f t="shared" si="69"/>
      </c>
      <c r="CU55">
        <f t="shared" si="70"/>
      </c>
      <c r="CV55">
        <f t="shared" si="71"/>
      </c>
      <c r="CW55">
        <f t="shared" si="72"/>
      </c>
      <c r="CX55">
        <f t="shared" si="73"/>
      </c>
      <c r="CY55">
        <f t="shared" si="74"/>
      </c>
      <c r="CZ55">
        <f t="shared" si="75"/>
      </c>
      <c r="DA55">
        <f t="shared" si="76"/>
      </c>
      <c r="DB55">
        <f t="shared" si="77"/>
      </c>
      <c r="DC55">
        <f t="shared" si="78"/>
      </c>
      <c r="DD55">
        <f t="shared" si="79"/>
      </c>
      <c r="DE55">
        <f t="shared" si="80"/>
      </c>
      <c r="DF55">
        <f t="shared" si="81"/>
      </c>
      <c r="DG55">
        <f t="shared" si="82"/>
      </c>
      <c r="DH55">
        <f t="shared" si="83"/>
      </c>
      <c r="DI55">
        <f t="shared" si="84"/>
      </c>
      <c r="DK55" t="str">
        <f>AV55</f>
        <v>Portugal</v>
      </c>
      <c r="DL55">
        <f>IF(AW55="",0,RANK(AW55,AW52:AW55,1))</f>
        <v>0</v>
      </c>
      <c r="DM55">
        <f t="shared" si="95"/>
      </c>
      <c r="DN55" t="str">
        <f>DK55</f>
        <v>Portugal</v>
      </c>
      <c r="DO55">
        <v>4</v>
      </c>
      <c r="DP55" t="e">
        <f>VLOOKUP(DO55,DL52:DN55,3,FALSE)</f>
        <v>#N/A</v>
      </c>
      <c r="DQ55" t="e">
        <f>VLOOKUP(DP55,DK52:DL55,2,FALSE)</f>
        <v>#N/A</v>
      </c>
      <c r="DR55" t="b">
        <f>ISERROR(DP55)</f>
        <v>1</v>
      </c>
      <c r="DS55" t="str">
        <f>EH55</f>
        <v>Portugal</v>
      </c>
      <c r="DT55">
        <f>IF(DL55=1,DK55,"")</f>
      </c>
      <c r="DW55">
        <f>IF(DL55=2,2,"")</f>
      </c>
      <c r="EC55">
        <f>IF(ED55="","",4)</f>
      </c>
      <c r="ED55">
        <f>IF(DL55=2,DK55,"")</f>
      </c>
      <c r="EH55" t="str">
        <f>IF(EC56="3p2",EF56,EP55)</f>
        <v>Portugal</v>
      </c>
      <c r="EI55">
        <f>IF(EJ55="","",4)</f>
      </c>
      <c r="EJ55">
        <f>IF(DL55=1,DK55,"")</f>
      </c>
      <c r="EP55" t="str">
        <f>IF(EO56="4p1",DK55,ER55)</f>
        <v>Portugal</v>
      </c>
      <c r="EQ55">
        <f>IF(DL55=3,3,"")</f>
      </c>
      <c r="ER55" t="str">
        <f>IF(EQ56="2p3",ES57,AH55)</f>
        <v>Portugal</v>
      </c>
      <c r="FB55" s="210"/>
      <c r="FC55" s="7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</row>
    <row r="56" spans="1:181" ht="15">
      <c r="A56" s="62" t="s">
        <v>79</v>
      </c>
      <c r="B56" s="66" t="s">
        <v>24</v>
      </c>
      <c r="C56" s="2">
        <v>45</v>
      </c>
      <c r="D56" s="4">
        <f t="shared" si="126"/>
      </c>
      <c r="E56" s="95" t="str">
        <f>VLOOKUP(A56,Tirage!$D$1:$F$40,3,FALSE)</f>
        <v>Portugal</v>
      </c>
      <c r="F56" s="243"/>
      <c r="G56" s="243"/>
      <c r="H56" s="301" t="str">
        <f>VLOOKUP(B56,Tirage!$D$1:$F$40,3,FALSE)</f>
        <v>Brésil</v>
      </c>
      <c r="I56" s="302"/>
      <c r="J56" s="4">
        <f t="shared" si="127"/>
      </c>
      <c r="K56" s="198">
        <v>39989</v>
      </c>
      <c r="L56" s="199" t="s">
        <v>107</v>
      </c>
      <c r="M56" s="200">
        <v>0.6666666666666666</v>
      </c>
      <c r="N56" s="273" t="s">
        <v>121</v>
      </c>
      <c r="O56" s="69"/>
      <c r="P56" s="46"/>
      <c r="Q56" s="291">
        <f>IF(N52="Tirage","Résultat tirage:",AH56)</f>
      </c>
      <c r="R56" s="296"/>
      <c r="S56" s="296"/>
      <c r="T56" s="296"/>
      <c r="AH56">
        <f>IF(G57="","",AH52)</f>
      </c>
      <c r="AI56">
        <f t="shared" si="128"/>
      </c>
      <c r="AJ56">
        <f t="shared" si="129"/>
        <v>1</v>
      </c>
      <c r="AK56">
        <f t="shared" si="130"/>
        <v>1</v>
      </c>
      <c r="AL56">
        <f t="shared" si="131"/>
      </c>
      <c r="AN56">
        <f t="shared" si="132"/>
      </c>
      <c r="AO56">
        <f t="shared" si="133"/>
        <v>1</v>
      </c>
      <c r="AP56">
        <f t="shared" si="134"/>
        <v>1</v>
      </c>
      <c r="AQ56">
        <f t="shared" si="135"/>
      </c>
      <c r="DM56">
        <f>IF(SUM(DM52:DM55)=2,"2P1","")</f>
      </c>
      <c r="DO56">
        <f>IF(DT52="",DP56,DT52)</f>
      </c>
      <c r="DP56">
        <f>IF(DT53="",DQ56,DT53)</f>
      </c>
      <c r="DQ56">
        <f>IF(DT54="",DR56,DT54)</f>
      </c>
      <c r="DR56">
        <f>IF(DT55="","",DT55)</f>
      </c>
      <c r="DW56">
        <f>IF(SUM(DW52:DW55)=4,"2P2","")</f>
      </c>
      <c r="DY56">
        <f>IF(ED52="",DZ56,ED52)</f>
      </c>
      <c r="DZ56">
        <f>IF(ED53="",EA56,ED53)</f>
      </c>
      <c r="EA56">
        <f>IF(ED54="",EB56,ED54)</f>
      </c>
      <c r="EB56">
        <f>IF(ED55="","",ED55)</f>
      </c>
      <c r="EC56">
        <f>IF(SUM(DW52:DW55)=6,"3P2","")</f>
      </c>
      <c r="ED56">
        <f>IF(EC52=1,ED52,EE56)</f>
      </c>
      <c r="EE56">
        <f>IF(EC53=2,ED53,EF56)</f>
      </c>
      <c r="EF56">
        <f>IF(EC54=3,ED54,EG56)</f>
      </c>
      <c r="EG56">
        <f>IF(EC55=4,ED55,"")</f>
      </c>
      <c r="EI56">
        <f>IF(SUM(DM52:DM55)=3,"3P1","")</f>
      </c>
      <c r="EJ56">
        <f>IF(EI52=1,EJ52,EK56)</f>
      </c>
      <c r="EK56">
        <f>IF(EI53=2,EJ53,EL56)</f>
      </c>
      <c r="EL56">
        <f>IF(EI54=3,EJ54,EM56)</f>
      </c>
      <c r="EM56">
        <f>IF(EI55=4,EJ55,"")</f>
      </c>
      <c r="EO56">
        <f>IF(SUM(DM52:DM55)=4,"4P1","")</f>
      </c>
      <c r="EQ56">
        <f>IF(SUM(EQ52:EQ55)=6,"2P3","")</f>
      </c>
      <c r="FB56" s="210"/>
      <c r="FC56" s="7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</row>
    <row r="57" spans="1:181" ht="15">
      <c r="A57" s="63" t="s">
        <v>25</v>
      </c>
      <c r="B57" s="63" t="s">
        <v>78</v>
      </c>
      <c r="C57" s="5">
        <v>46</v>
      </c>
      <c r="D57" s="6">
        <f t="shared" si="126"/>
      </c>
      <c r="E57" s="96" t="str">
        <f>VLOOKUP(A57,Tirage!$D$1:$F$40,3,FALSE)</f>
        <v>RDP Corée</v>
      </c>
      <c r="F57" s="244"/>
      <c r="G57" s="244"/>
      <c r="H57" s="303" t="str">
        <f>VLOOKUP(B57,Tirage!$D$1:$F$40,3,FALSE)</f>
        <v>Côte d'Ivoire</v>
      </c>
      <c r="I57" s="300"/>
      <c r="J57" s="6">
        <f t="shared" si="127"/>
      </c>
      <c r="K57" s="201">
        <v>39989</v>
      </c>
      <c r="L57" s="202" t="s">
        <v>108</v>
      </c>
      <c r="M57" s="203">
        <v>0.6666666666666666</v>
      </c>
      <c r="N57" s="274" t="s">
        <v>122</v>
      </c>
      <c r="O57" s="109"/>
      <c r="P57" s="47"/>
      <c r="Q57" s="292">
        <f>IF(N53="Tirage","Résultat tirage:",AH57)</f>
      </c>
      <c r="R57" s="307"/>
      <c r="S57" s="307"/>
      <c r="T57" s="307"/>
      <c r="AG57">
        <f>IF(J57="","",1)</f>
      </c>
      <c r="AH57">
        <f>IF(G57="","",AH53)</f>
      </c>
      <c r="AI57">
        <f t="shared" si="128"/>
      </c>
      <c r="AJ57">
        <f t="shared" si="129"/>
        <v>1</v>
      </c>
      <c r="AK57">
        <f t="shared" si="130"/>
        <v>1</v>
      </c>
      <c r="AL57">
        <f t="shared" si="131"/>
      </c>
      <c r="AN57">
        <f t="shared" si="132"/>
      </c>
      <c r="AO57">
        <f t="shared" si="133"/>
        <v>1</v>
      </c>
      <c r="AP57">
        <f t="shared" si="134"/>
        <v>1</v>
      </c>
      <c r="AQ57">
        <f t="shared" si="135"/>
      </c>
      <c r="DO57">
        <f>IF(DT55="",DP57,DT55)</f>
      </c>
      <c r="DP57">
        <f>IF(DT54="",DQ57,DT54)</f>
      </c>
      <c r="DQ57">
        <f>IF(DT53="",DR57,DT53)</f>
      </c>
      <c r="DR57">
        <f>IF(DT52="","",DT52)</f>
      </c>
      <c r="DY57">
        <f>IF(ED55="",DZ57,ED55)</f>
      </c>
      <c r="DZ57">
        <f>IF(ED54="",EA57,ED54)</f>
      </c>
      <c r="EA57">
        <f>IF(ED53="",EB57,ED53)</f>
      </c>
      <c r="EB57">
        <f>IF(ED52="","",ED52)</f>
      </c>
      <c r="FB57" s="210"/>
      <c r="FC57" s="7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</row>
    <row r="58" spans="1:181" ht="15" hidden="1">
      <c r="A58" s="62"/>
      <c r="B58" s="62"/>
      <c r="C58" s="72"/>
      <c r="D58" s="54"/>
      <c r="E58" s="99"/>
      <c r="F58" s="100"/>
      <c r="G58" s="100"/>
      <c r="H58" s="100"/>
      <c r="I58" s="99"/>
      <c r="J58" s="54"/>
      <c r="K58" s="188"/>
      <c r="L58" s="73"/>
      <c r="M58" s="14"/>
      <c r="N58" s="67"/>
      <c r="O58" s="82"/>
      <c r="P58" s="82"/>
      <c r="Q58" s="75"/>
      <c r="R58" s="76"/>
      <c r="S58" s="76"/>
      <c r="T58" s="76"/>
      <c r="AX58">
        <v>111</v>
      </c>
      <c r="AY58">
        <v>112</v>
      </c>
      <c r="AZ58">
        <v>113</v>
      </c>
      <c r="BA58">
        <v>114</v>
      </c>
      <c r="BB58">
        <v>121</v>
      </c>
      <c r="BC58">
        <v>122</v>
      </c>
      <c r="BD58">
        <v>123</v>
      </c>
      <c r="BE58">
        <v>124</v>
      </c>
      <c r="BF58">
        <v>131</v>
      </c>
      <c r="BG58">
        <v>132</v>
      </c>
      <c r="BH58">
        <v>133</v>
      </c>
      <c r="BI58">
        <v>134</v>
      </c>
      <c r="BJ58">
        <v>141</v>
      </c>
      <c r="BK58">
        <v>142</v>
      </c>
      <c r="BL58">
        <v>143</v>
      </c>
      <c r="BM58">
        <v>144</v>
      </c>
      <c r="BN58">
        <v>211</v>
      </c>
      <c r="BO58">
        <v>212</v>
      </c>
      <c r="BP58">
        <v>213</v>
      </c>
      <c r="BQ58">
        <v>214</v>
      </c>
      <c r="BR58">
        <v>221</v>
      </c>
      <c r="BS58">
        <v>222</v>
      </c>
      <c r="BT58">
        <v>223</v>
      </c>
      <c r="BU58">
        <v>224</v>
      </c>
      <c r="BV58">
        <v>231</v>
      </c>
      <c r="BW58">
        <v>232</v>
      </c>
      <c r="BX58">
        <v>233</v>
      </c>
      <c r="BY58">
        <v>234</v>
      </c>
      <c r="BZ58">
        <v>241</v>
      </c>
      <c r="CA58">
        <v>242</v>
      </c>
      <c r="CB58">
        <v>243</v>
      </c>
      <c r="CC58">
        <v>244</v>
      </c>
      <c r="CD58">
        <v>311</v>
      </c>
      <c r="CE58">
        <v>312</v>
      </c>
      <c r="CF58">
        <v>313</v>
      </c>
      <c r="CG58">
        <v>314</v>
      </c>
      <c r="CH58">
        <v>321</v>
      </c>
      <c r="CI58">
        <v>322</v>
      </c>
      <c r="CJ58">
        <v>323</v>
      </c>
      <c r="CK58">
        <v>324</v>
      </c>
      <c r="CL58">
        <v>331</v>
      </c>
      <c r="CM58">
        <v>332</v>
      </c>
      <c r="CN58">
        <v>333</v>
      </c>
      <c r="CO58">
        <v>334</v>
      </c>
      <c r="CP58">
        <v>341</v>
      </c>
      <c r="CQ58">
        <v>342</v>
      </c>
      <c r="CR58">
        <v>343</v>
      </c>
      <c r="CS58">
        <v>344</v>
      </c>
      <c r="CT58">
        <v>411</v>
      </c>
      <c r="CU58">
        <v>412</v>
      </c>
      <c r="CV58">
        <v>413</v>
      </c>
      <c r="CW58">
        <v>414</v>
      </c>
      <c r="CX58">
        <v>421</v>
      </c>
      <c r="CY58">
        <v>422</v>
      </c>
      <c r="CZ58">
        <v>423</v>
      </c>
      <c r="DA58">
        <v>424</v>
      </c>
      <c r="DB58">
        <v>431</v>
      </c>
      <c r="DC58">
        <v>432</v>
      </c>
      <c r="DD58">
        <v>433</v>
      </c>
      <c r="DE58">
        <v>434</v>
      </c>
      <c r="DF58">
        <v>441</v>
      </c>
      <c r="DG58">
        <v>442</v>
      </c>
      <c r="DH58">
        <v>443</v>
      </c>
      <c r="DI58">
        <v>444</v>
      </c>
      <c r="DM58" t="s">
        <v>86</v>
      </c>
      <c r="DW58" t="s">
        <v>87</v>
      </c>
      <c r="EC58" t="s">
        <v>88</v>
      </c>
      <c r="EI58" t="s">
        <v>89</v>
      </c>
      <c r="EO58" t="s">
        <v>90</v>
      </c>
      <c r="EQ58" t="s">
        <v>91</v>
      </c>
      <c r="FB58" s="210"/>
      <c r="FC58" s="7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</row>
    <row r="59" spans="1:181" ht="15">
      <c r="A59" s="103"/>
      <c r="B59" s="56"/>
      <c r="C59" s="2"/>
      <c r="D59" s="115" t="s">
        <v>83</v>
      </c>
      <c r="E59" s="310" t="s">
        <v>8</v>
      </c>
      <c r="F59" s="311"/>
      <c r="G59" s="311"/>
      <c r="H59" s="311"/>
      <c r="I59" s="312"/>
      <c r="J59" s="115" t="s">
        <v>83</v>
      </c>
      <c r="K59" s="195" t="s">
        <v>11</v>
      </c>
      <c r="L59" s="137" t="s">
        <v>12</v>
      </c>
      <c r="M59" s="138" t="s">
        <v>13</v>
      </c>
      <c r="N59" s="355" t="s">
        <v>138</v>
      </c>
      <c r="O59" s="356"/>
      <c r="P59" s="356"/>
      <c r="Q59" s="357"/>
      <c r="R59" s="139" t="s">
        <v>83</v>
      </c>
      <c r="S59" s="285" t="s">
        <v>84</v>
      </c>
      <c r="T59" s="139" t="s">
        <v>85</v>
      </c>
      <c r="W59" t="s">
        <v>83</v>
      </c>
      <c r="X59" t="s">
        <v>84</v>
      </c>
      <c r="Y59" t="s">
        <v>85</v>
      </c>
      <c r="AI59" t="s">
        <v>92</v>
      </c>
      <c r="AJ59" t="s">
        <v>93</v>
      </c>
      <c r="AK59" t="s">
        <v>94</v>
      </c>
      <c r="AL59" t="s">
        <v>95</v>
      </c>
      <c r="AN59" t="s">
        <v>92</v>
      </c>
      <c r="AO59" t="s">
        <v>93</v>
      </c>
      <c r="AP59" t="s">
        <v>94</v>
      </c>
      <c r="AQ59" t="s">
        <v>95</v>
      </c>
      <c r="AS59" t="s">
        <v>96</v>
      </c>
      <c r="AT59" t="s">
        <v>97</v>
      </c>
      <c r="AU59" t="s">
        <v>98</v>
      </c>
      <c r="FB59" s="210"/>
      <c r="FC59" s="7"/>
      <c r="FD59" s="210"/>
      <c r="FE59" s="210"/>
      <c r="FF59" s="210"/>
      <c r="FG59" s="210"/>
      <c r="FH59" s="210"/>
      <c r="FI59" s="210"/>
      <c r="FJ59" s="210"/>
      <c r="FK59" s="210"/>
      <c r="FL59" s="210"/>
      <c r="FM59" s="210"/>
      <c r="FN59" s="210"/>
      <c r="FO59" s="210"/>
      <c r="FP59" s="210"/>
      <c r="FQ59" s="210"/>
      <c r="FR59" s="210"/>
      <c r="FS59" s="210"/>
      <c r="FT59" s="210"/>
      <c r="FU59" s="210"/>
      <c r="FV59" s="210"/>
      <c r="FW59" s="210"/>
      <c r="FX59" s="210"/>
      <c r="FY59" s="210"/>
    </row>
    <row r="60" spans="1:181" ht="15">
      <c r="A60" s="62" t="s">
        <v>81</v>
      </c>
      <c r="B60" s="66" t="s">
        <v>82</v>
      </c>
      <c r="C60" s="2">
        <v>15</v>
      </c>
      <c r="D60" s="3">
        <f aca="true" t="shared" si="136" ref="D60:D65">IF(F60="","",AI60)</f>
      </c>
      <c r="E60" s="97" t="str">
        <f>VLOOKUP(A60,Tirage!$D$1:$F$40,3,FALSE)</f>
        <v>Honduras</v>
      </c>
      <c r="F60" s="243"/>
      <c r="G60" s="243"/>
      <c r="H60" s="304" t="str">
        <f>VLOOKUP(B60,Tirage!$D$1:$F$40,3,FALSE)</f>
        <v>Chili</v>
      </c>
      <c r="I60" s="302"/>
      <c r="J60" s="3">
        <f aca="true" t="shared" si="137" ref="J60:J65">IF(F60="","",AO60)</f>
      </c>
      <c r="K60" s="198">
        <v>39980</v>
      </c>
      <c r="L60" s="205" t="s">
        <v>108</v>
      </c>
      <c r="M60" s="200">
        <v>0.5625</v>
      </c>
      <c r="N60" s="246">
        <f>IF(AND(OR(DM64="2P1",EI64="3P1",EO64="4P1"),AG65=1),"Tirage",1)</f>
        <v>1</v>
      </c>
      <c r="O60" s="11"/>
      <c r="P60" s="11"/>
      <c r="Q60" s="33" t="str">
        <f>DS60</f>
        <v>Espagne</v>
      </c>
      <c r="R60" s="182">
        <f>IF(W60="","",VLOOKUP(Q60,V60:Y63,2,FALSE))</f>
      </c>
      <c r="S60" s="182">
        <f>IF(X60="","",VLOOKUP(Q60,V60:Y63,3,FALSE))</f>
      </c>
      <c r="T60" s="183">
        <f>IF($Y$4="","",VLOOKUP(Q60,V60:Y63,4,FALSE))</f>
      </c>
      <c r="V60" t="str">
        <f>E61</f>
        <v>Espagne</v>
      </c>
      <c r="W60">
        <f>IF(F61="","",SUM(D61,D63,J64))</f>
      </c>
      <c r="X60">
        <f>IF(F61="","",SUM((F61-G61)+(F63-G63)+(G64-F64)))</f>
      </c>
      <c r="Y60">
        <f>IF(F61="","",SUM(F61,F63,G64))</f>
      </c>
      <c r="AH60" t="str">
        <f>IF(DR60=TRUE,V60,DP60)</f>
        <v>Espagne</v>
      </c>
      <c r="AI60">
        <f aca="true" t="shared" si="138" ref="AI60:AI65">IF(G60="","",AJ60)</f>
      </c>
      <c r="AJ60">
        <f aca="true" t="shared" si="139" ref="AJ60:AJ65">IF(F60&lt;G60,0,AK60)</f>
        <v>1</v>
      </c>
      <c r="AK60">
        <f aca="true" t="shared" si="140" ref="AK60:AK65">IF(F60=G60,1,AL60)</f>
        <v>1</v>
      </c>
      <c r="AL60">
        <f aca="true" t="shared" si="141" ref="AL60:AL65">IF(F60&gt;G60,3,"")</f>
      </c>
      <c r="AN60">
        <f aca="true" t="shared" si="142" ref="AN60:AN65">IF(G60="","",AO60)</f>
      </c>
      <c r="AO60">
        <f aca="true" t="shared" si="143" ref="AO60:AO65">IF(G60&lt;F60,0,AP60)</f>
        <v>1</v>
      </c>
      <c r="AP60">
        <f aca="true" t="shared" si="144" ref="AP60:AP65">IF(G60=F60,1,AQ60)</f>
        <v>1</v>
      </c>
      <c r="AQ60">
        <f aca="true" t="shared" si="145" ref="AQ60:AQ65">IF(G60&gt;F60,3,"")</f>
      </c>
      <c r="AR60" t="str">
        <f>V60</f>
        <v>Espagne</v>
      </c>
      <c r="AS60">
        <f>IF(W60="","",RANK(W60,W60:W63))</f>
      </c>
      <c r="AT60">
        <f>IF(X60="","",RANK(X60,X60:X63))</f>
      </c>
      <c r="AU60">
        <f>IF(Y60="","",RANK(Y60,Y60:Y63))</f>
      </c>
      <c r="AV60" t="str">
        <f>AR60</f>
        <v>Espagne</v>
      </c>
      <c r="AW60">
        <f>IF(AS60="","",AX60)</f>
      </c>
      <c r="AX60">
        <f t="shared" si="21"/>
      </c>
      <c r="AY60">
        <f t="shared" si="22"/>
      </c>
      <c r="AZ60">
        <f t="shared" si="23"/>
      </c>
      <c r="BA60">
        <f t="shared" si="24"/>
      </c>
      <c r="BB60">
        <f t="shared" si="25"/>
      </c>
      <c r="BC60">
        <f t="shared" si="26"/>
      </c>
      <c r="BD60">
        <f t="shared" si="27"/>
      </c>
      <c r="BE60">
        <f t="shared" si="28"/>
      </c>
      <c r="BF60">
        <f t="shared" si="29"/>
      </c>
      <c r="BG60">
        <f t="shared" si="30"/>
      </c>
      <c r="BH60">
        <f t="shared" si="31"/>
      </c>
      <c r="BI60">
        <f t="shared" si="32"/>
      </c>
      <c r="BJ60">
        <f t="shared" si="33"/>
      </c>
      <c r="BK60">
        <f t="shared" si="34"/>
      </c>
      <c r="BL60">
        <f t="shared" si="35"/>
      </c>
      <c r="BM60">
        <f t="shared" si="36"/>
      </c>
      <c r="BN60">
        <f t="shared" si="37"/>
      </c>
      <c r="BO60">
        <f t="shared" si="38"/>
      </c>
      <c r="BP60">
        <f t="shared" si="39"/>
      </c>
      <c r="BQ60">
        <f t="shared" si="40"/>
      </c>
      <c r="BR60">
        <f t="shared" si="41"/>
      </c>
      <c r="BS60">
        <f t="shared" si="42"/>
      </c>
      <c r="BT60">
        <f t="shared" si="43"/>
      </c>
      <c r="BU60">
        <f t="shared" si="44"/>
      </c>
      <c r="BV60">
        <f t="shared" si="45"/>
      </c>
      <c r="BW60">
        <f t="shared" si="46"/>
      </c>
      <c r="BX60">
        <f t="shared" si="47"/>
      </c>
      <c r="BY60">
        <f t="shared" si="48"/>
      </c>
      <c r="BZ60">
        <f t="shared" si="49"/>
      </c>
      <c r="CA60">
        <f t="shared" si="50"/>
      </c>
      <c r="CB60">
        <f t="shared" si="51"/>
      </c>
      <c r="CC60">
        <f t="shared" si="52"/>
      </c>
      <c r="CD60">
        <f t="shared" si="53"/>
      </c>
      <c r="CE60">
        <f t="shared" si="54"/>
      </c>
      <c r="CF60">
        <f t="shared" si="55"/>
      </c>
      <c r="CG60">
        <f t="shared" si="56"/>
      </c>
      <c r="CH60">
        <f t="shared" si="57"/>
      </c>
      <c r="CI60">
        <f t="shared" si="58"/>
      </c>
      <c r="CJ60">
        <f t="shared" si="59"/>
      </c>
      <c r="CK60">
        <f t="shared" si="60"/>
      </c>
      <c r="CL60">
        <f t="shared" si="61"/>
      </c>
      <c r="CM60">
        <f t="shared" si="62"/>
      </c>
      <c r="CN60">
        <f t="shared" si="63"/>
      </c>
      <c r="CO60">
        <f t="shared" si="64"/>
      </c>
      <c r="CP60">
        <f t="shared" si="65"/>
      </c>
      <c r="CQ60">
        <f t="shared" si="66"/>
      </c>
      <c r="CR60">
        <f t="shared" si="67"/>
      </c>
      <c r="CS60">
        <f t="shared" si="68"/>
      </c>
      <c r="CT60">
        <f t="shared" si="69"/>
      </c>
      <c r="CU60">
        <f t="shared" si="70"/>
      </c>
      <c r="CV60">
        <f t="shared" si="71"/>
      </c>
      <c r="CW60">
        <f t="shared" si="72"/>
      </c>
      <c r="CX60">
        <f t="shared" si="73"/>
      </c>
      <c r="CY60">
        <f t="shared" si="74"/>
      </c>
      <c r="CZ60">
        <f t="shared" si="75"/>
      </c>
      <c r="DA60">
        <f t="shared" si="76"/>
      </c>
      <c r="DB60">
        <f t="shared" si="77"/>
      </c>
      <c r="DC60">
        <f t="shared" si="78"/>
      </c>
      <c r="DD60">
        <f t="shared" si="79"/>
      </c>
      <c r="DE60">
        <f t="shared" si="80"/>
      </c>
      <c r="DF60">
        <f t="shared" si="81"/>
      </c>
      <c r="DG60">
        <f t="shared" si="82"/>
      </c>
      <c r="DH60">
        <f t="shared" si="83"/>
      </c>
      <c r="DI60">
        <f t="shared" si="84"/>
      </c>
      <c r="DK60" t="str">
        <f>AV60</f>
        <v>Espagne</v>
      </c>
      <c r="DL60">
        <f>IF(AW60="",0,RANK(AW60,AW60:AW63,1))</f>
        <v>0</v>
      </c>
      <c r="DM60">
        <f t="shared" si="95"/>
      </c>
      <c r="DN60" t="str">
        <f>DK60</f>
        <v>Espagne</v>
      </c>
      <c r="DO60">
        <v>1</v>
      </c>
      <c r="DP60" t="e">
        <f>VLOOKUP(DO60,DL60:DN63,3,FALSE)</f>
        <v>#N/A</v>
      </c>
      <c r="DQ60" t="e">
        <f>VLOOKUP(DP60,DK60:DL63,2,FALSE)</f>
        <v>#N/A</v>
      </c>
      <c r="DR60" t="b">
        <f>ISERROR(DP60)</f>
        <v>1</v>
      </c>
      <c r="DS60" t="str">
        <f>IF(DM64="2p1",DO64,EN60)</f>
        <v>Espagne</v>
      </c>
      <c r="DT60">
        <f>IF(DL60=1,DK60,"")</f>
      </c>
      <c r="DW60">
        <f>IF(DL60=2,2,"")</f>
      </c>
      <c r="EC60">
        <f>IF(ED60="","",1)</f>
      </c>
      <c r="ED60">
        <f>IF(DL60=2,DK60,"")</f>
      </c>
      <c r="EI60">
        <f>IF(EJ60="","",1)</f>
      </c>
      <c r="EJ60">
        <f>IF(DL60=1,DK60,"")</f>
      </c>
      <c r="EN60" t="str">
        <f>IF(EI64="3p1",EJ64,EP60)</f>
        <v>Espagne</v>
      </c>
      <c r="EP60" t="str">
        <f>IF(EO64="4p1",DK60,AH60)</f>
        <v>Espagne</v>
      </c>
      <c r="EQ60">
        <f>IF(DL60=3,3,"")</f>
      </c>
      <c r="FB60" s="210"/>
      <c r="FC60" s="7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</row>
    <row r="61" spans="1:181" ht="15">
      <c r="A61" s="62" t="s">
        <v>26</v>
      </c>
      <c r="B61" s="66" t="s">
        <v>27</v>
      </c>
      <c r="C61" s="2">
        <v>16</v>
      </c>
      <c r="D61" s="4">
        <f t="shared" si="136"/>
      </c>
      <c r="E61" s="97" t="str">
        <f>VLOOKUP(A61,Tirage!$D$1:$F$40,3,FALSE)</f>
        <v>Espagne</v>
      </c>
      <c r="F61" s="243"/>
      <c r="G61" s="243"/>
      <c r="H61" s="304" t="str">
        <f>VLOOKUP(B61,Tirage!$D$1:$F$40,3,FALSE)</f>
        <v>Suisse</v>
      </c>
      <c r="I61" s="302"/>
      <c r="J61" s="4">
        <f t="shared" si="137"/>
      </c>
      <c r="K61" s="198">
        <v>39980</v>
      </c>
      <c r="L61" s="199" t="s">
        <v>107</v>
      </c>
      <c r="M61" s="200">
        <v>0.6666666666666666</v>
      </c>
      <c r="N61" s="275">
        <f>IF(AND(OR(DM64="2P1",EI64="3P1",EO64="4P1",DW64="2P2",EC64="3P2"),AG65=1),"Tirage",2)</f>
        <v>2</v>
      </c>
      <c r="O61" s="11"/>
      <c r="P61" s="11"/>
      <c r="Q61" s="34" t="str">
        <f>DS61</f>
        <v>Suisse</v>
      </c>
      <c r="R61" s="184">
        <f>IF(W61="","",VLOOKUP(Q61,V60:Y63,2,FALSE))</f>
      </c>
      <c r="S61" s="184">
        <f>IF(X61="","",VLOOKUP(Q61,V60:Y63,3,FALSE))</f>
      </c>
      <c r="T61" s="185">
        <f>IF($Y$4="","",VLOOKUP(Q61,V60:Y63,4,FALSE))</f>
      </c>
      <c r="V61" t="str">
        <f>H61</f>
        <v>Suisse</v>
      </c>
      <c r="W61">
        <f>IF(F61="","",SUM(J61,J62,D65))</f>
      </c>
      <c r="X61">
        <f>IF(F61="","",SUM(G61-F61+G62-F62+F65-G65))</f>
      </c>
      <c r="Y61">
        <f>IF(F61="","",SUM(G61,G62,F65))</f>
      </c>
      <c r="AH61" t="str">
        <f>IF(DR61=TRUE,V61,DP61)</f>
        <v>Suisse</v>
      </c>
      <c r="AI61">
        <f t="shared" si="138"/>
      </c>
      <c r="AJ61">
        <f t="shared" si="139"/>
        <v>1</v>
      </c>
      <c r="AK61">
        <f t="shared" si="140"/>
        <v>1</v>
      </c>
      <c r="AL61">
        <f t="shared" si="141"/>
      </c>
      <c r="AN61">
        <f t="shared" si="142"/>
      </c>
      <c r="AO61">
        <f t="shared" si="143"/>
        <v>1</v>
      </c>
      <c r="AP61">
        <f t="shared" si="144"/>
        <v>1</v>
      </c>
      <c r="AQ61">
        <f t="shared" si="145"/>
      </c>
      <c r="AR61" t="str">
        <f>V61</f>
        <v>Suisse</v>
      </c>
      <c r="AS61">
        <f>IF(W61="","",RANK(W61,W60:W63))</f>
      </c>
      <c r="AT61">
        <f>IF(X61="","",RANK(X61,X60:X63))</f>
      </c>
      <c r="AU61">
        <f>IF(Y61="","",RANK(Y61,Y60:Y63))</f>
      </c>
      <c r="AV61" t="str">
        <f>AR61</f>
        <v>Suisse</v>
      </c>
      <c r="AW61">
        <f>IF(AS61="","",AX61)</f>
      </c>
      <c r="AX61">
        <f t="shared" si="21"/>
      </c>
      <c r="AY61">
        <f t="shared" si="22"/>
      </c>
      <c r="AZ61">
        <f t="shared" si="23"/>
      </c>
      <c r="BA61">
        <f t="shared" si="24"/>
      </c>
      <c r="BB61">
        <f t="shared" si="25"/>
      </c>
      <c r="BC61">
        <f t="shared" si="26"/>
      </c>
      <c r="BD61">
        <f t="shared" si="27"/>
      </c>
      <c r="BE61">
        <f t="shared" si="28"/>
      </c>
      <c r="BF61">
        <f t="shared" si="29"/>
      </c>
      <c r="BG61">
        <f t="shared" si="30"/>
      </c>
      <c r="BH61">
        <f t="shared" si="31"/>
      </c>
      <c r="BI61">
        <f t="shared" si="32"/>
      </c>
      <c r="BJ61">
        <f t="shared" si="33"/>
      </c>
      <c r="BK61">
        <f t="shared" si="34"/>
      </c>
      <c r="BL61">
        <f t="shared" si="35"/>
      </c>
      <c r="BM61">
        <f t="shared" si="36"/>
      </c>
      <c r="BN61">
        <f t="shared" si="37"/>
      </c>
      <c r="BO61">
        <f t="shared" si="38"/>
      </c>
      <c r="BP61">
        <f t="shared" si="39"/>
      </c>
      <c r="BQ61">
        <f t="shared" si="40"/>
      </c>
      <c r="BR61">
        <f t="shared" si="41"/>
      </c>
      <c r="BS61">
        <f t="shared" si="42"/>
      </c>
      <c r="BT61">
        <f t="shared" si="43"/>
      </c>
      <c r="BU61">
        <f t="shared" si="44"/>
      </c>
      <c r="BV61">
        <f t="shared" si="45"/>
      </c>
      <c r="BW61">
        <f t="shared" si="46"/>
      </c>
      <c r="BX61">
        <f t="shared" si="47"/>
      </c>
      <c r="BY61">
        <f t="shared" si="48"/>
      </c>
      <c r="BZ61">
        <f t="shared" si="49"/>
      </c>
      <c r="CA61">
        <f t="shared" si="50"/>
      </c>
      <c r="CB61">
        <f t="shared" si="51"/>
      </c>
      <c r="CC61">
        <f t="shared" si="52"/>
      </c>
      <c r="CD61">
        <f t="shared" si="53"/>
      </c>
      <c r="CE61">
        <f t="shared" si="54"/>
      </c>
      <c r="CF61">
        <f t="shared" si="55"/>
      </c>
      <c r="CG61">
        <f t="shared" si="56"/>
      </c>
      <c r="CH61">
        <f t="shared" si="57"/>
      </c>
      <c r="CI61">
        <f t="shared" si="58"/>
      </c>
      <c r="CJ61">
        <f t="shared" si="59"/>
      </c>
      <c r="CK61">
        <f t="shared" si="60"/>
      </c>
      <c r="CL61">
        <f t="shared" si="61"/>
      </c>
      <c r="CM61">
        <f t="shared" si="62"/>
      </c>
      <c r="CN61">
        <f t="shared" si="63"/>
      </c>
      <c r="CO61">
        <f t="shared" si="64"/>
      </c>
      <c r="CP61">
        <f t="shared" si="65"/>
      </c>
      <c r="CQ61">
        <f t="shared" si="66"/>
      </c>
      <c r="CR61">
        <f t="shared" si="67"/>
      </c>
      <c r="CS61">
        <f t="shared" si="68"/>
      </c>
      <c r="CT61">
        <f t="shared" si="69"/>
      </c>
      <c r="CU61">
        <f t="shared" si="70"/>
      </c>
      <c r="CV61">
        <f t="shared" si="71"/>
      </c>
      <c r="CW61">
        <f t="shared" si="72"/>
      </c>
      <c r="CX61">
        <f t="shared" si="73"/>
      </c>
      <c r="CY61">
        <f t="shared" si="74"/>
      </c>
      <c r="CZ61">
        <f t="shared" si="75"/>
      </c>
      <c r="DA61">
        <f t="shared" si="76"/>
      </c>
      <c r="DB61">
        <f t="shared" si="77"/>
      </c>
      <c r="DC61">
        <f t="shared" si="78"/>
      </c>
      <c r="DD61">
        <f t="shared" si="79"/>
      </c>
      <c r="DE61">
        <f t="shared" si="80"/>
      </c>
      <c r="DF61">
        <f t="shared" si="81"/>
      </c>
      <c r="DG61">
        <f t="shared" si="82"/>
      </c>
      <c r="DH61">
        <f t="shared" si="83"/>
      </c>
      <c r="DI61">
        <f t="shared" si="84"/>
      </c>
      <c r="DK61" t="str">
        <f>AV61</f>
        <v>Suisse</v>
      </c>
      <c r="DL61">
        <f>IF(AW61="",0,RANK(AW61,AW60:AW63,1))</f>
        <v>0</v>
      </c>
      <c r="DM61">
        <f t="shared" si="95"/>
      </c>
      <c r="DN61" t="str">
        <f>DK61</f>
        <v>Suisse</v>
      </c>
      <c r="DO61">
        <v>2</v>
      </c>
      <c r="DP61" t="e">
        <f>VLOOKUP(DO61,DL60:DN63,3,FALSE)</f>
        <v>#N/A</v>
      </c>
      <c r="DQ61" t="e">
        <f>VLOOKUP(DP61,DK60:DL63,2,FALSE)</f>
        <v>#N/A</v>
      </c>
      <c r="DR61" t="b">
        <f>ISERROR(DP61)</f>
        <v>1</v>
      </c>
      <c r="DS61" t="str">
        <f>IF(DM64="2p1",DO65,DX61)</f>
        <v>Suisse</v>
      </c>
      <c r="DT61">
        <f>IF(DL61=1,DK61,"")</f>
      </c>
      <c r="DW61">
        <f>IF(DL61=2,2,"")</f>
      </c>
      <c r="DX61" t="str">
        <f>IF(DW64="2p2",DY64,EH61)</f>
        <v>Suisse</v>
      </c>
      <c r="EC61">
        <f>IF(ED61="","",2)</f>
      </c>
      <c r="ED61">
        <f>IF(DL61=2,DK61,"")</f>
      </c>
      <c r="EH61" t="str">
        <f>IF(EC64="3p2",ED64,EN61)</f>
        <v>Suisse</v>
      </c>
      <c r="EI61">
        <f>IF(EJ61="","",2)</f>
      </c>
      <c r="EJ61">
        <f>IF(DL61=1,DK61,"")</f>
      </c>
      <c r="EN61" t="str">
        <f>IF(EI64="3p1",EK64,EP61)</f>
        <v>Suisse</v>
      </c>
      <c r="EP61" t="str">
        <f>IF(EO64="4p1",DK61,AH61)</f>
        <v>Suisse</v>
      </c>
      <c r="EQ61">
        <f>IF(DL61=3,3,"")</f>
      </c>
      <c r="FB61" s="210"/>
      <c r="FC61" s="7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  <c r="FV61" s="210"/>
      <c r="FW61" s="210"/>
      <c r="FX61" s="210"/>
      <c r="FY61" s="210"/>
    </row>
    <row r="62" spans="1:181" ht="15">
      <c r="A62" s="62" t="s">
        <v>82</v>
      </c>
      <c r="B62" s="66" t="s">
        <v>27</v>
      </c>
      <c r="C62" s="2">
        <v>31</v>
      </c>
      <c r="D62" s="4">
        <f t="shared" si="136"/>
      </c>
      <c r="E62" s="97" t="str">
        <f>VLOOKUP(A62,Tirage!$D$1:$F$40,3,FALSE)</f>
        <v>Chili</v>
      </c>
      <c r="F62" s="243"/>
      <c r="G62" s="243"/>
      <c r="H62" s="304" t="str">
        <f>VLOOKUP(B62,Tirage!$D$1:$F$40,3,FALSE)</f>
        <v>Suisse</v>
      </c>
      <c r="I62" s="302"/>
      <c r="J62" s="4">
        <f t="shared" si="137"/>
      </c>
      <c r="K62" s="198">
        <v>39985</v>
      </c>
      <c r="L62" s="199" t="s">
        <v>106</v>
      </c>
      <c r="M62" s="200">
        <v>0.6666666666666666</v>
      </c>
      <c r="N62" s="275">
        <f>IF(AND(OR(EI64="3P1",EO64="4P1",DW64="2P2",EC64="3P2"),AG65=1),"Tirage",3)</f>
        <v>3</v>
      </c>
      <c r="O62" s="11"/>
      <c r="P62" s="11"/>
      <c r="Q62" s="34" t="str">
        <f>DS62</f>
        <v>Honduras</v>
      </c>
      <c r="R62" s="184">
        <f>IF(W62="","",VLOOKUP(Q62,V60:Y63,2,FALSE))</f>
      </c>
      <c r="S62" s="184">
        <f>IF(X62="","",VLOOKUP(Q62,V60:Y63,3,FALSE))</f>
      </c>
      <c r="T62" s="185">
        <f>IF($Y$4="","",VLOOKUP(Q62,V60:Y63,4,FALSE))</f>
      </c>
      <c r="V62" t="str">
        <f>E60</f>
        <v>Honduras</v>
      </c>
      <c r="W62">
        <f>IF(F60="","",SUM(D60,J63,J65))</f>
      </c>
      <c r="X62">
        <f>IF(F60="","",SUM(F60-G60+G63-F63+G65-F65))</f>
      </c>
      <c r="Y62">
        <f>IF(F60="","",SUM(F60,G63,G65))</f>
      </c>
      <c r="AH62" t="str">
        <f>IF(DR62=TRUE,V62,DP62)</f>
        <v>Honduras</v>
      </c>
      <c r="AI62">
        <f t="shared" si="138"/>
      </c>
      <c r="AJ62">
        <f t="shared" si="139"/>
        <v>1</v>
      </c>
      <c r="AK62">
        <f t="shared" si="140"/>
        <v>1</v>
      </c>
      <c r="AL62">
        <f t="shared" si="141"/>
      </c>
      <c r="AN62">
        <f t="shared" si="142"/>
      </c>
      <c r="AO62">
        <f t="shared" si="143"/>
        <v>1</v>
      </c>
      <c r="AP62">
        <f t="shared" si="144"/>
        <v>1</v>
      </c>
      <c r="AQ62">
        <f t="shared" si="145"/>
      </c>
      <c r="AR62" t="str">
        <f>V62</f>
        <v>Honduras</v>
      </c>
      <c r="AS62">
        <f>IF(W62="","",RANK(W62,W60:W63))</f>
      </c>
      <c r="AT62">
        <f>IF(X62="","",RANK(X62,X60:X63))</f>
      </c>
      <c r="AU62">
        <f>IF(Y62="","",RANK(Y62,Y60:Y63))</f>
      </c>
      <c r="AV62" t="str">
        <f>AR62</f>
        <v>Honduras</v>
      </c>
      <c r="AW62">
        <f>IF(AS62="","",AX62)</f>
      </c>
      <c r="AX62">
        <f t="shared" si="21"/>
      </c>
      <c r="AY62">
        <f t="shared" si="22"/>
      </c>
      <c r="AZ62">
        <f t="shared" si="23"/>
      </c>
      <c r="BA62">
        <f t="shared" si="24"/>
      </c>
      <c r="BB62">
        <f t="shared" si="25"/>
      </c>
      <c r="BC62">
        <f t="shared" si="26"/>
      </c>
      <c r="BD62">
        <f t="shared" si="27"/>
      </c>
      <c r="BE62">
        <f t="shared" si="28"/>
      </c>
      <c r="BF62">
        <f t="shared" si="29"/>
      </c>
      <c r="BG62">
        <f t="shared" si="30"/>
      </c>
      <c r="BH62">
        <f t="shared" si="31"/>
      </c>
      <c r="BI62">
        <f t="shared" si="32"/>
      </c>
      <c r="BJ62">
        <f t="shared" si="33"/>
      </c>
      <c r="BK62">
        <f t="shared" si="34"/>
      </c>
      <c r="BL62">
        <f t="shared" si="35"/>
      </c>
      <c r="BM62">
        <f t="shared" si="36"/>
      </c>
      <c r="BN62">
        <f t="shared" si="37"/>
      </c>
      <c r="BO62">
        <f t="shared" si="38"/>
      </c>
      <c r="BP62">
        <f t="shared" si="39"/>
      </c>
      <c r="BQ62">
        <f t="shared" si="40"/>
      </c>
      <c r="BR62">
        <f t="shared" si="41"/>
      </c>
      <c r="BS62">
        <f t="shared" si="42"/>
      </c>
      <c r="BT62">
        <f t="shared" si="43"/>
      </c>
      <c r="BU62">
        <f t="shared" si="44"/>
      </c>
      <c r="BV62">
        <f t="shared" si="45"/>
      </c>
      <c r="BW62">
        <f t="shared" si="46"/>
      </c>
      <c r="BX62">
        <f t="shared" si="47"/>
      </c>
      <c r="BY62">
        <f t="shared" si="48"/>
      </c>
      <c r="BZ62">
        <f t="shared" si="49"/>
      </c>
      <c r="CA62">
        <f t="shared" si="50"/>
      </c>
      <c r="CB62">
        <f t="shared" si="51"/>
      </c>
      <c r="CC62">
        <f t="shared" si="52"/>
      </c>
      <c r="CD62">
        <f t="shared" si="53"/>
      </c>
      <c r="CE62">
        <f t="shared" si="54"/>
      </c>
      <c r="CF62">
        <f t="shared" si="55"/>
      </c>
      <c r="CG62">
        <f t="shared" si="56"/>
      </c>
      <c r="CH62">
        <f t="shared" si="57"/>
      </c>
      <c r="CI62">
        <f t="shared" si="58"/>
      </c>
      <c r="CJ62">
        <f t="shared" si="59"/>
      </c>
      <c r="CK62">
        <f t="shared" si="60"/>
      </c>
      <c r="CL62">
        <f t="shared" si="61"/>
      </c>
      <c r="CM62">
        <f t="shared" si="62"/>
      </c>
      <c r="CN62">
        <f t="shared" si="63"/>
      </c>
      <c r="CO62">
        <f t="shared" si="64"/>
      </c>
      <c r="CP62">
        <f t="shared" si="65"/>
      </c>
      <c r="CQ62">
        <f t="shared" si="66"/>
      </c>
      <c r="CR62">
        <f t="shared" si="67"/>
      </c>
      <c r="CS62">
        <f t="shared" si="68"/>
      </c>
      <c r="CT62">
        <f t="shared" si="69"/>
      </c>
      <c r="CU62">
        <f t="shared" si="70"/>
      </c>
      <c r="CV62">
        <f t="shared" si="71"/>
      </c>
      <c r="CW62">
        <f t="shared" si="72"/>
      </c>
      <c r="CX62">
        <f t="shared" si="73"/>
      </c>
      <c r="CY62">
        <f t="shared" si="74"/>
      </c>
      <c r="CZ62">
        <f t="shared" si="75"/>
      </c>
      <c r="DA62">
        <f t="shared" si="76"/>
      </c>
      <c r="DB62">
        <f t="shared" si="77"/>
      </c>
      <c r="DC62">
        <f t="shared" si="78"/>
      </c>
      <c r="DD62">
        <f t="shared" si="79"/>
      </c>
      <c r="DE62">
        <f t="shared" si="80"/>
      </c>
      <c r="DF62">
        <f t="shared" si="81"/>
      </c>
      <c r="DG62">
        <f t="shared" si="82"/>
      </c>
      <c r="DH62">
        <f t="shared" si="83"/>
      </c>
      <c r="DI62">
        <f t="shared" si="84"/>
      </c>
      <c r="DK62" t="str">
        <f>AV62</f>
        <v>Honduras</v>
      </c>
      <c r="DL62">
        <f>IF(AW62="",0,RANK(AW62,AW60:AW63,1))</f>
        <v>0</v>
      </c>
      <c r="DM62">
        <f t="shared" si="95"/>
      </c>
      <c r="DN62" t="str">
        <f>DK62</f>
        <v>Honduras</v>
      </c>
      <c r="DO62">
        <v>3</v>
      </c>
      <c r="DP62" t="e">
        <f>VLOOKUP(DO62,DL60:DN63,3,FALSE)</f>
        <v>#N/A</v>
      </c>
      <c r="DQ62" t="e">
        <f>VLOOKUP(DP62,DK60:DL63,2,FALSE)</f>
        <v>#N/A</v>
      </c>
      <c r="DR62" t="b">
        <f>ISERROR(DP62)</f>
        <v>1</v>
      </c>
      <c r="DS62" t="str">
        <f>DX62</f>
        <v>Honduras</v>
      </c>
      <c r="DT62">
        <f>IF(DL62=1,DK62,"")</f>
      </c>
      <c r="DW62">
        <f>IF(DL62=2,2,"")</f>
      </c>
      <c r="DX62" t="str">
        <f>IF(DW64="2p2",DY65,EH62)</f>
        <v>Honduras</v>
      </c>
      <c r="EC62">
        <f>IF(ED62="","",3)</f>
      </c>
      <c r="ED62">
        <f>IF(DL62=2,DK62,"")</f>
      </c>
      <c r="EH62" t="str">
        <f>IF(EC64="3p2",EE64,EN62)</f>
        <v>Honduras</v>
      </c>
      <c r="EI62">
        <f>IF(EJ62="","",3)</f>
      </c>
      <c r="EJ62">
        <f>IF(DL62=1,DK62,"")</f>
      </c>
      <c r="EN62" t="str">
        <f>IF(EI64="3p1",EL64,EP62)</f>
        <v>Honduras</v>
      </c>
      <c r="EP62" t="str">
        <f>IF(EO64="4p1",DK62,ER62)</f>
        <v>Honduras</v>
      </c>
      <c r="EQ62">
        <f>IF(DL62=3,3,"")</f>
      </c>
      <c r="ER62" t="str">
        <f>IF(EQ64="2p3",ES64,AH62)</f>
        <v>Honduras</v>
      </c>
      <c r="FB62" s="210"/>
      <c r="FC62" s="7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</row>
    <row r="63" spans="1:181" ht="15">
      <c r="A63" s="62" t="s">
        <v>26</v>
      </c>
      <c r="B63" s="66" t="s">
        <v>81</v>
      </c>
      <c r="C63" s="2">
        <v>32</v>
      </c>
      <c r="D63" s="4">
        <f t="shared" si="136"/>
      </c>
      <c r="E63" s="97" t="str">
        <f>VLOOKUP(A63,Tirage!$D$1:$F$40,3,FALSE)</f>
        <v>Espagne</v>
      </c>
      <c r="F63" s="243"/>
      <c r="G63" s="243"/>
      <c r="H63" s="304" t="str">
        <f>VLOOKUP(B63,Tirage!$D$1:$F$40,3,FALSE)</f>
        <v>Honduras</v>
      </c>
      <c r="I63" s="302"/>
      <c r="J63" s="4">
        <f t="shared" si="137"/>
      </c>
      <c r="K63" s="198">
        <v>39985</v>
      </c>
      <c r="L63" s="204" t="s">
        <v>100</v>
      </c>
      <c r="M63" s="200">
        <v>0.8541666666666666</v>
      </c>
      <c r="N63" s="275">
        <f>IF(AND(OR(EO64="4P1",EC64="3P2"),AG65=1),"Tirage",4)</f>
        <v>4</v>
      </c>
      <c r="O63" s="11"/>
      <c r="P63" s="11"/>
      <c r="Q63" s="35" t="str">
        <f>DS63</f>
        <v>Chili</v>
      </c>
      <c r="R63" s="186">
        <f>IF(W63="","",VLOOKUP(Q63,V60:Y63,2,FALSE))</f>
      </c>
      <c r="S63" s="186">
        <f>IF(X63="","",VLOOKUP(Q63,V60:Y63,3,FALSE))</f>
      </c>
      <c r="T63" s="187">
        <f>IF($Y$4="","",VLOOKUP(Q63,V60:Y63,4,FALSE))</f>
      </c>
      <c r="V63" t="str">
        <f>H60</f>
        <v>Chili</v>
      </c>
      <c r="W63">
        <f>IF(F60="","",SUM(J60,D62,D64))</f>
      </c>
      <c r="X63">
        <f>IF(F60="","",SUM(G60-F60+F62-G62+F64-G64))</f>
      </c>
      <c r="Y63">
        <f>IF(F60="","",SUM(G60,F62,F64))</f>
      </c>
      <c r="AH63" t="str">
        <f>IF(DR63=TRUE,V63,DP63)</f>
        <v>Chili</v>
      </c>
      <c r="AI63">
        <f t="shared" si="138"/>
      </c>
      <c r="AJ63">
        <f t="shared" si="139"/>
        <v>1</v>
      </c>
      <c r="AK63">
        <f t="shared" si="140"/>
        <v>1</v>
      </c>
      <c r="AL63">
        <f t="shared" si="141"/>
      </c>
      <c r="AN63">
        <f t="shared" si="142"/>
      </c>
      <c r="AO63">
        <f t="shared" si="143"/>
        <v>1</v>
      </c>
      <c r="AP63">
        <f t="shared" si="144"/>
        <v>1</v>
      </c>
      <c r="AQ63">
        <f t="shared" si="145"/>
      </c>
      <c r="AR63" t="str">
        <f>V63</f>
        <v>Chili</v>
      </c>
      <c r="AS63">
        <f>IF(W63="","",RANK(W63,W60:W63))</f>
      </c>
      <c r="AT63">
        <f>IF(X63="","",RANK(X63,X60:X63))</f>
      </c>
      <c r="AU63">
        <f>IF(Y63="","",RANK(Y63,$Y$60:$Y$63))</f>
      </c>
      <c r="AV63" t="str">
        <f>AR63</f>
        <v>Chili</v>
      </c>
      <c r="AW63">
        <f>IF(AS63="","",AX63)</f>
      </c>
      <c r="AX63">
        <f t="shared" si="21"/>
      </c>
      <c r="AY63">
        <f t="shared" si="22"/>
      </c>
      <c r="AZ63">
        <f t="shared" si="23"/>
      </c>
      <c r="BA63">
        <f t="shared" si="24"/>
      </c>
      <c r="BB63">
        <f t="shared" si="25"/>
      </c>
      <c r="BC63">
        <f t="shared" si="26"/>
      </c>
      <c r="BD63">
        <f t="shared" si="27"/>
      </c>
      <c r="BE63">
        <f t="shared" si="28"/>
      </c>
      <c r="BF63">
        <f t="shared" si="29"/>
      </c>
      <c r="BG63">
        <f t="shared" si="30"/>
      </c>
      <c r="BH63">
        <f t="shared" si="31"/>
      </c>
      <c r="BI63">
        <f t="shared" si="32"/>
      </c>
      <c r="BJ63">
        <f t="shared" si="33"/>
      </c>
      <c r="BK63">
        <f t="shared" si="34"/>
      </c>
      <c r="BL63">
        <f t="shared" si="35"/>
      </c>
      <c r="BM63">
        <f t="shared" si="36"/>
      </c>
      <c r="BN63">
        <f t="shared" si="37"/>
      </c>
      <c r="BO63">
        <f t="shared" si="38"/>
      </c>
      <c r="BP63">
        <f t="shared" si="39"/>
      </c>
      <c r="BQ63">
        <f t="shared" si="40"/>
      </c>
      <c r="BR63">
        <f t="shared" si="41"/>
      </c>
      <c r="BS63">
        <f t="shared" si="42"/>
      </c>
      <c r="BT63">
        <f t="shared" si="43"/>
      </c>
      <c r="BU63">
        <f t="shared" si="44"/>
      </c>
      <c r="BV63">
        <f t="shared" si="45"/>
      </c>
      <c r="BW63">
        <f t="shared" si="46"/>
      </c>
      <c r="BX63">
        <f t="shared" si="47"/>
      </c>
      <c r="BY63">
        <f t="shared" si="48"/>
      </c>
      <c r="BZ63">
        <f t="shared" si="49"/>
      </c>
      <c r="CA63">
        <f t="shared" si="50"/>
      </c>
      <c r="CB63">
        <f t="shared" si="51"/>
      </c>
      <c r="CC63">
        <f t="shared" si="52"/>
      </c>
      <c r="CD63">
        <f t="shared" si="53"/>
      </c>
      <c r="CE63">
        <f t="shared" si="54"/>
      </c>
      <c r="CF63">
        <f t="shared" si="55"/>
      </c>
      <c r="CG63">
        <f t="shared" si="56"/>
      </c>
      <c r="CH63">
        <f t="shared" si="57"/>
      </c>
      <c r="CI63">
        <f t="shared" si="58"/>
      </c>
      <c r="CJ63">
        <f t="shared" si="59"/>
      </c>
      <c r="CK63">
        <f t="shared" si="60"/>
      </c>
      <c r="CL63">
        <f t="shared" si="61"/>
      </c>
      <c r="CM63">
        <f t="shared" si="62"/>
      </c>
      <c r="CN63">
        <f t="shared" si="63"/>
      </c>
      <c r="CO63">
        <f t="shared" si="64"/>
      </c>
      <c r="CP63">
        <f t="shared" si="65"/>
      </c>
      <c r="CQ63">
        <f t="shared" si="66"/>
      </c>
      <c r="CR63">
        <f t="shared" si="67"/>
      </c>
      <c r="CS63">
        <f t="shared" si="68"/>
      </c>
      <c r="CT63">
        <f t="shared" si="69"/>
      </c>
      <c r="CU63">
        <f t="shared" si="70"/>
      </c>
      <c r="CV63">
        <f t="shared" si="71"/>
      </c>
      <c r="CW63">
        <f t="shared" si="72"/>
      </c>
      <c r="CX63">
        <f t="shared" si="73"/>
      </c>
      <c r="CY63">
        <f t="shared" si="74"/>
      </c>
      <c r="CZ63">
        <f t="shared" si="75"/>
      </c>
      <c r="DA63">
        <f t="shared" si="76"/>
      </c>
      <c r="DB63">
        <f t="shared" si="77"/>
      </c>
      <c r="DC63">
        <f t="shared" si="78"/>
      </c>
      <c r="DD63">
        <f t="shared" si="79"/>
      </c>
      <c r="DE63">
        <f t="shared" si="80"/>
      </c>
      <c r="DF63">
        <f t="shared" si="81"/>
      </c>
      <c r="DG63">
        <f t="shared" si="82"/>
      </c>
      <c r="DH63">
        <f t="shared" si="83"/>
      </c>
      <c r="DI63">
        <f t="shared" si="84"/>
      </c>
      <c r="DK63" t="str">
        <f>AV63</f>
        <v>Chili</v>
      </c>
      <c r="DL63">
        <f>IF(AW63="",0,RANK(AW63,AW60:AW63,1))</f>
        <v>0</v>
      </c>
      <c r="DM63">
        <f t="shared" si="95"/>
      </c>
      <c r="DN63" t="str">
        <f>DK63</f>
        <v>Chili</v>
      </c>
      <c r="DO63">
        <v>4</v>
      </c>
      <c r="DP63" t="e">
        <f>VLOOKUP(DO63,DL60:DN63,3,FALSE)</f>
        <v>#N/A</v>
      </c>
      <c r="DQ63" t="e">
        <f>VLOOKUP(DP63,DK60:DL63,2,FALSE)</f>
        <v>#N/A</v>
      </c>
      <c r="DR63" t="b">
        <f>ISERROR(DP63)</f>
        <v>1</v>
      </c>
      <c r="DS63" t="str">
        <f>EH63</f>
        <v>Chili</v>
      </c>
      <c r="DT63">
        <f>IF(DL63=1,DK63,"")</f>
      </c>
      <c r="DW63">
        <f>IF(DL63=2,2,"")</f>
      </c>
      <c r="EC63">
        <f>IF(ED63="","",4)</f>
      </c>
      <c r="ED63">
        <f>IF(DL63=2,DK63,"")</f>
      </c>
      <c r="EH63" t="str">
        <f>IF(EC64="3p2",EF64,EP63)</f>
        <v>Chili</v>
      </c>
      <c r="EI63">
        <f>IF(EJ63="","",4)</f>
      </c>
      <c r="EJ63">
        <f>IF(DL63=1,DK63,"")</f>
      </c>
      <c r="EP63" t="str">
        <f>IF(EO64="4p1",DK63,ER63)</f>
        <v>Chili</v>
      </c>
      <c r="EQ63">
        <f>IF(DL63=3,3,"")</f>
      </c>
      <c r="ER63" t="str">
        <f>IF(EQ64="2p3",ES65,AH63)</f>
        <v>Chili</v>
      </c>
      <c r="FB63" s="210"/>
      <c r="FC63" s="7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V63" s="210"/>
      <c r="FW63" s="210"/>
      <c r="FX63" s="210"/>
      <c r="FY63" s="210"/>
    </row>
    <row r="64" spans="1:181" ht="15">
      <c r="A64" s="62" t="s">
        <v>82</v>
      </c>
      <c r="B64" s="66" t="s">
        <v>26</v>
      </c>
      <c r="C64" s="2">
        <v>47</v>
      </c>
      <c r="D64" s="4">
        <f t="shared" si="136"/>
      </c>
      <c r="E64" s="97" t="str">
        <f>VLOOKUP(A64,Tirage!$D$1:$F$40,3,FALSE)</f>
        <v>Chili</v>
      </c>
      <c r="F64" s="243"/>
      <c r="G64" s="243"/>
      <c r="H64" s="304" t="str">
        <f>VLOOKUP(B64,Tirage!$D$1:$F$40,3,FALSE)</f>
        <v>Espagne</v>
      </c>
      <c r="I64" s="302"/>
      <c r="J64" s="4">
        <f t="shared" si="137"/>
      </c>
      <c r="K64" s="198">
        <v>39989</v>
      </c>
      <c r="L64" s="199" t="s">
        <v>102</v>
      </c>
      <c r="M64" s="200">
        <v>0.8541666666666666</v>
      </c>
      <c r="N64" s="276" t="s">
        <v>123</v>
      </c>
      <c r="O64" s="69"/>
      <c r="P64" s="48"/>
      <c r="Q64" s="291">
        <f>IF(N60="Tirage","Résultat tirage:",AH64)</f>
      </c>
      <c r="R64" s="296"/>
      <c r="S64" s="296"/>
      <c r="T64" s="296"/>
      <c r="AH64">
        <f>IF(G65="","",AH60)</f>
      </c>
      <c r="AI64">
        <f t="shared" si="138"/>
      </c>
      <c r="AJ64">
        <f t="shared" si="139"/>
        <v>1</v>
      </c>
      <c r="AK64">
        <f t="shared" si="140"/>
        <v>1</v>
      </c>
      <c r="AL64">
        <f t="shared" si="141"/>
      </c>
      <c r="AN64">
        <f t="shared" si="142"/>
      </c>
      <c r="AO64">
        <f t="shared" si="143"/>
        <v>1</v>
      </c>
      <c r="AP64">
        <f t="shared" si="144"/>
        <v>1</v>
      </c>
      <c r="AQ64">
        <f t="shared" si="145"/>
      </c>
      <c r="DM64">
        <f>IF(SUM(DM60:DM63)=2,"2P1","")</f>
      </c>
      <c r="DO64">
        <f>IF(DT60="",DP64,DT60)</f>
      </c>
      <c r="DP64">
        <f>IF(DT61="",DQ64,DT61)</f>
      </c>
      <c r="DQ64">
        <f>IF(DT62="",DR64,DT62)</f>
      </c>
      <c r="DR64">
        <f>IF(DT63="","",DT63)</f>
      </c>
      <c r="DW64">
        <f>IF(SUM(DW60:DW63)=4,"2P2","")</f>
      </c>
      <c r="DY64">
        <f>IF(ED60="",DZ64,ED60)</f>
      </c>
      <c r="DZ64">
        <f>IF(ED61="",EA64,ED61)</f>
      </c>
      <c r="EA64">
        <f>IF(ED62="",EB64,ED62)</f>
      </c>
      <c r="EB64">
        <f>IF(ED63="","",ED63)</f>
      </c>
      <c r="EC64">
        <f>IF(SUM(DW60:DW63)=6,"3P2","")</f>
      </c>
      <c r="ED64">
        <f>IF(EC60=1,ED60,EE64)</f>
      </c>
      <c r="EE64">
        <f>IF(EC61=2,ED61,EF64)</f>
      </c>
      <c r="EF64">
        <f>IF(EC62=3,ED62,EG64)</f>
      </c>
      <c r="EG64">
        <f>IF(EC63=4,ED63,"")</f>
      </c>
      <c r="EI64">
        <f>IF(SUM(DM60:DM63)=3,"3P1","")</f>
      </c>
      <c r="EJ64">
        <f>IF(EI60=1,EJ60,EK64)</f>
      </c>
      <c r="EK64">
        <f>IF(EI61=2,EJ61,EL64)</f>
      </c>
      <c r="EL64">
        <f>IF(EI62=3,EJ62,EM64)</f>
      </c>
      <c r="EM64">
        <f>IF(EI63=4,EJ63,"")</f>
      </c>
      <c r="EO64">
        <f>IF(SUM(DM60:DM63)=4,"4P1","")</f>
      </c>
      <c r="EQ64">
        <f>IF(SUM(EQ60:EQ63)=6,"2P3","")</f>
      </c>
      <c r="FB64" s="210"/>
      <c r="FC64" s="7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210"/>
      <c r="FU64" s="210"/>
      <c r="FV64" s="210"/>
      <c r="FW64" s="210"/>
      <c r="FX64" s="210"/>
      <c r="FY64" s="210"/>
    </row>
    <row r="65" spans="1:181" ht="15">
      <c r="A65" s="63" t="s">
        <v>27</v>
      </c>
      <c r="B65" s="63" t="s">
        <v>81</v>
      </c>
      <c r="C65" s="5">
        <v>48</v>
      </c>
      <c r="D65" s="6">
        <f t="shared" si="136"/>
      </c>
      <c r="E65" s="98" t="str">
        <f>VLOOKUP(A65,Tirage!$D$1:$F$40,3,FALSE)</f>
        <v>Suisse</v>
      </c>
      <c r="F65" s="244"/>
      <c r="G65" s="244"/>
      <c r="H65" s="299" t="str">
        <f>VLOOKUP(B65,Tirage!$D$1:$F$40,3,FALSE)</f>
        <v>Honduras</v>
      </c>
      <c r="I65" s="300"/>
      <c r="J65" s="6">
        <f t="shared" si="137"/>
      </c>
      <c r="K65" s="201">
        <v>39989</v>
      </c>
      <c r="L65" s="202" t="s">
        <v>105</v>
      </c>
      <c r="M65" s="203">
        <v>0.8541666666666666</v>
      </c>
      <c r="N65" s="277" t="s">
        <v>124</v>
      </c>
      <c r="O65" s="109"/>
      <c r="P65" s="49"/>
      <c r="Q65" s="292">
        <f>IF(N61="Tirage","Résultat tirage:",AH65)</f>
      </c>
      <c r="R65" s="307"/>
      <c r="S65" s="307"/>
      <c r="T65" s="307"/>
      <c r="AG65">
        <f>IF(J65="","",1)</f>
      </c>
      <c r="AH65">
        <f>IF(G65="","",AH61)</f>
      </c>
      <c r="AI65">
        <f t="shared" si="138"/>
      </c>
      <c r="AJ65">
        <f t="shared" si="139"/>
        <v>1</v>
      </c>
      <c r="AK65">
        <f t="shared" si="140"/>
        <v>1</v>
      </c>
      <c r="AL65">
        <f t="shared" si="141"/>
      </c>
      <c r="AN65">
        <f t="shared" si="142"/>
      </c>
      <c r="AO65">
        <f t="shared" si="143"/>
        <v>1</v>
      </c>
      <c r="AP65">
        <f t="shared" si="144"/>
        <v>1</v>
      </c>
      <c r="AQ65">
        <f t="shared" si="145"/>
      </c>
      <c r="DO65">
        <f>IF(DT63="",DP65,DT63)</f>
      </c>
      <c r="DP65">
        <f>IF(DT62="",DQ65,DT62)</f>
      </c>
      <c r="DQ65">
        <f>IF(DT61="",DR65,DT61)</f>
      </c>
      <c r="DR65">
        <f>IF(DT60="","",DT60)</f>
      </c>
      <c r="DY65">
        <f>IF(ED63="",DZ65,ED63)</f>
      </c>
      <c r="DZ65">
        <f>IF(ED62="",EA65,ED62)</f>
      </c>
      <c r="EA65">
        <f>IF(ED61="",EB65,ED61)</f>
      </c>
      <c r="EB65">
        <f>IF(ED60="","",ED60)</f>
      </c>
      <c r="FB65" s="210"/>
      <c r="FC65" s="7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</row>
    <row r="66" spans="3:181" ht="15"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7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210"/>
      <c r="FU66" s="210"/>
      <c r="FV66" s="210"/>
      <c r="FW66" s="210"/>
      <c r="FX66" s="210"/>
      <c r="FY66" s="210"/>
    </row>
    <row r="67" spans="3:181" ht="15"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210"/>
      <c r="EZ67" s="210"/>
      <c r="FA67" s="210"/>
      <c r="FB67" s="210"/>
      <c r="FC67" s="7"/>
      <c r="FD67" s="210"/>
      <c r="FE67" s="210"/>
      <c r="FF67" s="210"/>
      <c r="FG67" s="210"/>
      <c r="FH67" s="210"/>
      <c r="FI67" s="210"/>
      <c r="FJ67" s="210"/>
      <c r="FK67" s="210"/>
      <c r="FL67" s="210"/>
      <c r="FM67" s="210"/>
      <c r="FN67" s="210"/>
      <c r="FO67" s="210"/>
      <c r="FP67" s="210"/>
      <c r="FQ67" s="210"/>
      <c r="FR67" s="210"/>
      <c r="FS67" s="210"/>
      <c r="FT67" s="210"/>
      <c r="FU67" s="210"/>
      <c r="FV67" s="210"/>
      <c r="FW67" s="210"/>
      <c r="FX67" s="210"/>
      <c r="FY67" s="210"/>
    </row>
    <row r="68" spans="3:181" ht="15"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7"/>
      <c r="FD68" s="210"/>
      <c r="FE68" s="210"/>
      <c r="FF68" s="210"/>
      <c r="FG68" s="210"/>
      <c r="FH68" s="210"/>
      <c r="FI68" s="210"/>
      <c r="FJ68" s="210"/>
      <c r="FK68" s="210"/>
      <c r="FL68" s="210"/>
      <c r="FM68" s="210"/>
      <c r="FN68" s="210"/>
      <c r="FO68" s="210"/>
      <c r="FP68" s="210"/>
      <c r="FQ68" s="210"/>
      <c r="FR68" s="210"/>
      <c r="FS68" s="210"/>
      <c r="FT68" s="210"/>
      <c r="FU68" s="210"/>
      <c r="FV68" s="210"/>
      <c r="FW68" s="210"/>
      <c r="FX68" s="210"/>
      <c r="FY68" s="210"/>
    </row>
    <row r="69" spans="3:181" ht="15"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7"/>
      <c r="FD69" s="210"/>
      <c r="FE69" s="210"/>
      <c r="FF69" s="210"/>
      <c r="FG69" s="210"/>
      <c r="FH69" s="210"/>
      <c r="FI69" s="210"/>
      <c r="FJ69" s="210"/>
      <c r="FK69" s="210"/>
      <c r="FL69" s="210"/>
      <c r="FM69" s="210"/>
      <c r="FN69" s="210"/>
      <c r="FO69" s="210"/>
      <c r="FP69" s="210"/>
      <c r="FQ69" s="210"/>
      <c r="FR69" s="210"/>
      <c r="FS69" s="210"/>
      <c r="FT69" s="210"/>
      <c r="FU69" s="210"/>
      <c r="FV69" s="210"/>
      <c r="FW69" s="210"/>
      <c r="FX69" s="210"/>
      <c r="FY69" s="210"/>
    </row>
    <row r="70" spans="3:181" ht="15"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0"/>
      <c r="EW70" s="210"/>
      <c r="EX70" s="210"/>
      <c r="EY70" s="210"/>
      <c r="EZ70" s="210"/>
      <c r="FA70" s="210"/>
      <c r="FB70" s="210"/>
      <c r="FC70" s="7"/>
      <c r="FD70" s="210"/>
      <c r="FE70" s="21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10"/>
      <c r="FR70" s="210"/>
      <c r="FS70" s="210"/>
      <c r="FT70" s="210"/>
      <c r="FU70" s="210"/>
      <c r="FV70" s="210"/>
      <c r="FW70" s="210"/>
      <c r="FX70" s="210"/>
      <c r="FY70" s="210"/>
    </row>
  </sheetData>
  <sheetProtection selectLockedCells="1"/>
  <mergeCells count="93">
    <mergeCell ref="FX22:FX23"/>
    <mergeCell ref="FX24:FX25"/>
    <mergeCell ref="N43:Q43"/>
    <mergeCell ref="R25:T25"/>
    <mergeCell ref="R32:T32"/>
    <mergeCell ref="N59:Q59"/>
    <mergeCell ref="FU5:FX6"/>
    <mergeCell ref="FU7:FX11"/>
    <mergeCell ref="FU32:FV32"/>
    <mergeCell ref="FU33:FV33"/>
    <mergeCell ref="FU22:FV23"/>
    <mergeCell ref="FU24:FV25"/>
    <mergeCell ref="FW22:FW23"/>
    <mergeCell ref="N35:Q35"/>
    <mergeCell ref="FW24:FW25"/>
    <mergeCell ref="H21:I21"/>
    <mergeCell ref="H22:I22"/>
    <mergeCell ref="H23:I23"/>
    <mergeCell ref="N51:Q51"/>
    <mergeCell ref="H16:I16"/>
    <mergeCell ref="E35:I35"/>
    <mergeCell ref="R33:T33"/>
    <mergeCell ref="N19:Q19"/>
    <mergeCell ref="N27:Q27"/>
    <mergeCell ref="E27:I27"/>
    <mergeCell ref="H29:I29"/>
    <mergeCell ref="H30:I30"/>
    <mergeCell ref="H33:I33"/>
    <mergeCell ref="H20:I20"/>
    <mergeCell ref="H8:I8"/>
    <mergeCell ref="H9:I9"/>
    <mergeCell ref="N11:Q11"/>
    <mergeCell ref="H15:I15"/>
    <mergeCell ref="C2:T2"/>
    <mergeCell ref="E3:I3"/>
    <mergeCell ref="E11:I11"/>
    <mergeCell ref="E19:I19"/>
    <mergeCell ref="N3:Q3"/>
    <mergeCell ref="R8:T8"/>
    <mergeCell ref="R9:T9"/>
    <mergeCell ref="R16:T16"/>
    <mergeCell ref="R17:T17"/>
    <mergeCell ref="H7:I7"/>
    <mergeCell ref="R56:T56"/>
    <mergeCell ref="R57:T57"/>
    <mergeCell ref="E43:I43"/>
    <mergeCell ref="E51:I51"/>
    <mergeCell ref="H46:I46"/>
    <mergeCell ref="H47:I47"/>
    <mergeCell ref="E59:I59"/>
    <mergeCell ref="H12:I12"/>
    <mergeCell ref="R24:T24"/>
    <mergeCell ref="H17:I17"/>
    <mergeCell ref="H13:I13"/>
    <mergeCell ref="H14:I14"/>
    <mergeCell ref="H48:I48"/>
    <mergeCell ref="H24:I24"/>
    <mergeCell ref="H25:I25"/>
    <mergeCell ref="H28:I28"/>
    <mergeCell ref="R64:T64"/>
    <mergeCell ref="R65:T65"/>
    <mergeCell ref="C1:T1"/>
    <mergeCell ref="H4:I4"/>
    <mergeCell ref="H5:I5"/>
    <mergeCell ref="H6:I6"/>
    <mergeCell ref="R40:T40"/>
    <mergeCell ref="R41:T41"/>
    <mergeCell ref="R48:T48"/>
    <mergeCell ref="R49:T49"/>
    <mergeCell ref="H40:I40"/>
    <mergeCell ref="H41:I41"/>
    <mergeCell ref="H44:I44"/>
    <mergeCell ref="H45:I45"/>
    <mergeCell ref="H62:I62"/>
    <mergeCell ref="H63:I63"/>
    <mergeCell ref="H64:I64"/>
    <mergeCell ref="H31:I31"/>
    <mergeCell ref="H32:I32"/>
    <mergeCell ref="H49:I49"/>
    <mergeCell ref="H36:I36"/>
    <mergeCell ref="H37:I37"/>
    <mergeCell ref="H38:I38"/>
    <mergeCell ref="H39:I39"/>
    <mergeCell ref="FB1:FX1"/>
    <mergeCell ref="H65:I65"/>
    <mergeCell ref="H52:I52"/>
    <mergeCell ref="H53:I53"/>
    <mergeCell ref="H54:I54"/>
    <mergeCell ref="H55:I55"/>
    <mergeCell ref="H56:I56"/>
    <mergeCell ref="H57:I57"/>
    <mergeCell ref="H60:I60"/>
    <mergeCell ref="H61:I61"/>
  </mergeCells>
  <conditionalFormatting sqref="N4:N7 N20:N23 N28:N31 N36:N39 N44:N47 N52:N55 N60:N63">
    <cfRule type="cellIs" priority="15" dxfId="8" operator="equal" stopIfTrue="1">
      <formula>"Tirage"</formula>
    </cfRule>
  </conditionalFormatting>
  <conditionalFormatting sqref="FU5:FX11">
    <cfRule type="expression" priority="10" dxfId="9">
      <formula>$FU$5=""</formula>
    </cfRule>
  </conditionalFormatting>
  <conditionalFormatting sqref="Q8:Q9 Q16:Q17 Q24:Q25 Q32:Q33 Q40:Q41 Q48:Q49 Q56:Q57 Q64:Q65">
    <cfRule type="expression" priority="9" dxfId="8">
      <formula>Q8="Résultat tirage:"</formula>
    </cfRule>
  </conditionalFormatting>
  <conditionalFormatting sqref="Q8:Q9">
    <cfRule type="expression" priority="8" dxfId="7">
      <formula>Q8=""</formula>
    </cfRule>
  </conditionalFormatting>
  <conditionalFormatting sqref="Q16:Q17">
    <cfRule type="expression" priority="7" dxfId="6">
      <formula>Q16=""</formula>
    </cfRule>
  </conditionalFormatting>
  <conditionalFormatting sqref="Q24:Q25">
    <cfRule type="expression" priority="6" dxfId="5">
      <formula>Q24=""</formula>
    </cfRule>
  </conditionalFormatting>
  <conditionalFormatting sqref="Q32:Q33">
    <cfRule type="expression" priority="5" dxfId="4">
      <formula>Q32=""</formula>
    </cfRule>
  </conditionalFormatting>
  <conditionalFormatting sqref="Q40:Q41">
    <cfRule type="expression" priority="4" dxfId="3">
      <formula>Q40=""</formula>
    </cfRule>
  </conditionalFormatting>
  <conditionalFormatting sqref="Q48:Q49">
    <cfRule type="expression" priority="3" dxfId="2">
      <formula>Q48=""</formula>
    </cfRule>
  </conditionalFormatting>
  <conditionalFormatting sqref="Q56:Q57">
    <cfRule type="expression" priority="2" dxfId="1">
      <formula>Q56=""</formula>
    </cfRule>
  </conditionalFormatting>
  <conditionalFormatting sqref="Q64:Q65">
    <cfRule type="expression" priority="1" dxfId="0">
      <formula>Q64=""</formula>
    </cfRule>
  </conditionalFormatting>
  <printOptions/>
  <pageMargins left="0.13" right="0.13" top="0.13" bottom="0.19" header="0.12" footer="0.1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L34" sqref="L34"/>
    </sheetView>
  </sheetViews>
  <sheetFormatPr defaultColWidth="9.140625" defaultRowHeight="15"/>
  <cols>
    <col min="1" max="4" width="11.421875" style="0" customWidth="1"/>
    <col min="5" max="5" width="4.8515625" style="0" customWidth="1"/>
    <col min="6" max="16384" width="11.421875" style="0" customWidth="1"/>
  </cols>
  <sheetData>
    <row r="1" spans="1:6" ht="15">
      <c r="A1" s="52">
        <v>1</v>
      </c>
      <c r="B1" s="51" t="s">
        <v>28</v>
      </c>
      <c r="C1" s="50"/>
      <c r="D1" s="51" t="s">
        <v>29</v>
      </c>
      <c r="E1" s="50"/>
      <c r="F1" s="50"/>
    </row>
    <row r="2" spans="1:6" ht="15">
      <c r="A2" s="52">
        <v>2</v>
      </c>
      <c r="B2" s="51" t="s">
        <v>30</v>
      </c>
      <c r="C2" s="50"/>
      <c r="D2" s="51" t="s">
        <v>9</v>
      </c>
      <c r="E2" s="53">
        <v>1</v>
      </c>
      <c r="F2" s="50" t="str">
        <f>IF(E2="","",(VLOOKUP(E2,A$1:B$32,2,FALSE)))</f>
        <v>Afrique du Sud</v>
      </c>
    </row>
    <row r="3" spans="1:6" ht="15">
      <c r="A3" s="52">
        <v>3</v>
      </c>
      <c r="B3" s="51" t="s">
        <v>31</v>
      </c>
      <c r="C3" s="50"/>
      <c r="D3" s="51" t="s">
        <v>10</v>
      </c>
      <c r="E3" s="53">
        <v>20</v>
      </c>
      <c r="F3" s="50" t="str">
        <f aca="true" t="shared" si="0" ref="F3:F40">IF(E3="","",(VLOOKUP(E3,A$1:B$32,2,FALSE)))</f>
        <v>Mexique</v>
      </c>
    </row>
    <row r="4" spans="1:6" ht="15">
      <c r="A4" s="52">
        <v>4</v>
      </c>
      <c r="B4" s="51" t="s">
        <v>33</v>
      </c>
      <c r="C4" s="50"/>
      <c r="D4" s="51" t="s">
        <v>34</v>
      </c>
      <c r="E4" s="53">
        <v>32</v>
      </c>
      <c r="F4" s="50" t="str">
        <f t="shared" si="0"/>
        <v>Uruguay</v>
      </c>
    </row>
    <row r="5" spans="1:6" ht="15">
      <c r="A5" s="52">
        <v>5</v>
      </c>
      <c r="B5" s="51" t="s">
        <v>36</v>
      </c>
      <c r="C5" s="50"/>
      <c r="D5" s="51" t="s">
        <v>37</v>
      </c>
      <c r="E5" s="53">
        <v>14</v>
      </c>
      <c r="F5" s="50" t="str">
        <f t="shared" si="0"/>
        <v>France</v>
      </c>
    </row>
    <row r="6" spans="1:6" ht="15">
      <c r="A6" s="52">
        <v>6</v>
      </c>
      <c r="B6" s="51" t="s">
        <v>39</v>
      </c>
      <c r="C6" s="50"/>
      <c r="D6" s="51" t="s">
        <v>40</v>
      </c>
      <c r="E6" s="50"/>
      <c r="F6" s="50">
        <f t="shared" si="0"/>
      </c>
    </row>
    <row r="7" spans="1:6" ht="15">
      <c r="A7" s="52">
        <v>7</v>
      </c>
      <c r="B7" s="51" t="s">
        <v>41</v>
      </c>
      <c r="C7" s="50"/>
      <c r="D7" s="51" t="s">
        <v>14</v>
      </c>
      <c r="E7" s="50">
        <v>5</v>
      </c>
      <c r="F7" s="50" t="str">
        <f t="shared" si="0"/>
        <v>Argentine</v>
      </c>
    </row>
    <row r="8" spans="1:6" ht="15">
      <c r="A8" s="52">
        <v>8</v>
      </c>
      <c r="B8" s="51" t="s">
        <v>42</v>
      </c>
      <c r="C8" s="50"/>
      <c r="D8" s="51" t="s">
        <v>15</v>
      </c>
      <c r="E8" s="50">
        <v>21</v>
      </c>
      <c r="F8" s="50" t="str">
        <f t="shared" si="0"/>
        <v>Nigeria</v>
      </c>
    </row>
    <row r="9" spans="1:6" ht="15">
      <c r="A9" s="52">
        <v>9</v>
      </c>
      <c r="B9" s="51" t="s">
        <v>43</v>
      </c>
      <c r="C9" s="50"/>
      <c r="D9" s="51" t="s">
        <v>44</v>
      </c>
      <c r="E9" s="50">
        <v>27</v>
      </c>
      <c r="F9" s="50" t="str">
        <f t="shared" si="0"/>
        <v>République de Corée</v>
      </c>
    </row>
    <row r="10" spans="1:6" ht="15">
      <c r="A10" s="52">
        <v>10</v>
      </c>
      <c r="B10" s="51" t="s">
        <v>45</v>
      </c>
      <c r="C10" s="50"/>
      <c r="D10" s="51" t="s">
        <v>46</v>
      </c>
      <c r="E10" s="50">
        <v>16</v>
      </c>
      <c r="F10" s="50" t="str">
        <f t="shared" si="0"/>
        <v>Grèce</v>
      </c>
    </row>
    <row r="11" spans="1:6" ht="15">
      <c r="A11" s="52">
        <v>11</v>
      </c>
      <c r="B11" s="51" t="s">
        <v>47</v>
      </c>
      <c r="C11" s="50"/>
      <c r="D11" s="51" t="s">
        <v>48</v>
      </c>
      <c r="E11" s="50"/>
      <c r="F11" s="50">
        <f t="shared" si="0"/>
      </c>
    </row>
    <row r="12" spans="1:6" ht="15">
      <c r="A12" s="52">
        <v>12</v>
      </c>
      <c r="B12" s="51" t="s">
        <v>49</v>
      </c>
      <c r="C12" s="50"/>
      <c r="D12" s="51" t="s">
        <v>16</v>
      </c>
      <c r="E12" s="50">
        <v>4</v>
      </c>
      <c r="F12" s="50" t="str">
        <f t="shared" si="0"/>
        <v>Angleterre</v>
      </c>
    </row>
    <row r="13" spans="1:6" ht="15">
      <c r="A13" s="52">
        <v>13</v>
      </c>
      <c r="B13" s="51" t="s">
        <v>99</v>
      </c>
      <c r="C13" s="50"/>
      <c r="D13" s="51" t="s">
        <v>17</v>
      </c>
      <c r="E13" s="50">
        <v>13</v>
      </c>
      <c r="F13" s="50" t="str">
        <f t="shared" si="0"/>
        <v>U.S.A</v>
      </c>
    </row>
    <row r="14" spans="1:6" ht="15">
      <c r="A14" s="52">
        <v>14</v>
      </c>
      <c r="B14" s="51" t="s">
        <v>32</v>
      </c>
      <c r="C14" s="50"/>
      <c r="D14" s="51" t="s">
        <v>50</v>
      </c>
      <c r="E14" s="50">
        <v>2</v>
      </c>
      <c r="F14" s="50" t="str">
        <f t="shared" si="0"/>
        <v>Algérie</v>
      </c>
    </row>
    <row r="15" spans="1:6" ht="15">
      <c r="A15" s="52">
        <v>15</v>
      </c>
      <c r="B15" s="51" t="s">
        <v>51</v>
      </c>
      <c r="C15" s="50"/>
      <c r="D15" s="51" t="s">
        <v>52</v>
      </c>
      <c r="E15" s="50">
        <v>30</v>
      </c>
      <c r="F15" s="50" t="str">
        <f t="shared" si="0"/>
        <v>Slovénie</v>
      </c>
    </row>
    <row r="16" spans="1:6" ht="15">
      <c r="A16" s="52">
        <v>16</v>
      </c>
      <c r="B16" s="51" t="s">
        <v>53</v>
      </c>
      <c r="C16" s="50"/>
      <c r="D16" s="51" t="s">
        <v>54</v>
      </c>
      <c r="E16" s="50"/>
      <c r="F16" s="50">
        <f t="shared" si="0"/>
      </c>
    </row>
    <row r="17" spans="1:6" ht="15">
      <c r="A17" s="52">
        <v>17</v>
      </c>
      <c r="B17" s="51" t="s">
        <v>55</v>
      </c>
      <c r="C17" s="50"/>
      <c r="D17" s="51" t="s">
        <v>18</v>
      </c>
      <c r="E17" s="50">
        <v>3</v>
      </c>
      <c r="F17" s="50" t="str">
        <f t="shared" si="0"/>
        <v>Allemagne</v>
      </c>
    </row>
    <row r="18" spans="1:6" ht="15">
      <c r="A18" s="52">
        <v>18</v>
      </c>
      <c r="B18" s="51" t="s">
        <v>35</v>
      </c>
      <c r="C18" s="50"/>
      <c r="D18" s="51" t="s">
        <v>19</v>
      </c>
      <c r="E18" s="50">
        <v>6</v>
      </c>
      <c r="F18" s="50" t="str">
        <f t="shared" si="0"/>
        <v>Australie</v>
      </c>
    </row>
    <row r="19" spans="1:6" ht="15">
      <c r="A19" s="52">
        <v>19</v>
      </c>
      <c r="B19" s="51" t="s">
        <v>56</v>
      </c>
      <c r="C19" s="50"/>
      <c r="D19" s="51" t="s">
        <v>57</v>
      </c>
      <c r="E19" s="50">
        <v>28</v>
      </c>
      <c r="F19" s="50" t="str">
        <f t="shared" si="0"/>
        <v>Serbie</v>
      </c>
    </row>
    <row r="20" spans="1:6" ht="15">
      <c r="A20" s="52">
        <v>20</v>
      </c>
      <c r="B20" s="51" t="s">
        <v>58</v>
      </c>
      <c r="C20" s="50"/>
      <c r="D20" s="51" t="s">
        <v>59</v>
      </c>
      <c r="E20" s="50">
        <v>15</v>
      </c>
      <c r="F20" s="50" t="str">
        <f t="shared" si="0"/>
        <v>Ghana</v>
      </c>
    </row>
    <row r="21" spans="1:6" ht="15">
      <c r="A21" s="52">
        <v>21</v>
      </c>
      <c r="B21" s="51" t="s">
        <v>60</v>
      </c>
      <c r="C21" s="50"/>
      <c r="D21" s="51" t="s">
        <v>61</v>
      </c>
      <c r="E21" s="50"/>
      <c r="F21" s="50">
        <f t="shared" si="0"/>
      </c>
    </row>
    <row r="22" spans="1:6" ht="15">
      <c r="A22" s="52">
        <v>22</v>
      </c>
      <c r="B22" s="51" t="s">
        <v>62</v>
      </c>
      <c r="C22" s="50"/>
      <c r="D22" s="51" t="s">
        <v>20</v>
      </c>
      <c r="E22" s="50">
        <v>24</v>
      </c>
      <c r="F22" s="50" t="str">
        <f t="shared" si="0"/>
        <v>Pays-Bas</v>
      </c>
    </row>
    <row r="23" spans="1:6" ht="15">
      <c r="A23" s="52">
        <v>23</v>
      </c>
      <c r="B23" s="51" t="s">
        <v>63</v>
      </c>
      <c r="C23" s="50"/>
      <c r="D23" s="51" t="s">
        <v>21</v>
      </c>
      <c r="E23" s="50">
        <v>11</v>
      </c>
      <c r="F23" s="50" t="str">
        <f t="shared" si="0"/>
        <v>Danemark</v>
      </c>
    </row>
    <row r="24" spans="1:6" ht="15">
      <c r="A24" s="52">
        <v>24</v>
      </c>
      <c r="B24" s="51" t="s">
        <v>64</v>
      </c>
      <c r="C24" s="50"/>
      <c r="D24" s="51" t="s">
        <v>65</v>
      </c>
      <c r="E24" s="50">
        <v>19</v>
      </c>
      <c r="F24" s="50" t="str">
        <f t="shared" si="0"/>
        <v>Japon</v>
      </c>
    </row>
    <row r="25" spans="1:6" ht="15">
      <c r="A25" s="52">
        <v>25</v>
      </c>
      <c r="B25" s="51" t="s">
        <v>66</v>
      </c>
      <c r="C25" s="50"/>
      <c r="D25" s="51" t="s">
        <v>67</v>
      </c>
      <c r="E25" s="50">
        <v>8</v>
      </c>
      <c r="F25" s="50" t="str">
        <f t="shared" si="0"/>
        <v>Cameroun</v>
      </c>
    </row>
    <row r="26" spans="1:6" ht="15">
      <c r="A26" s="52">
        <v>26</v>
      </c>
      <c r="B26" s="51" t="s">
        <v>68</v>
      </c>
      <c r="C26" s="50"/>
      <c r="D26" s="51" t="s">
        <v>69</v>
      </c>
      <c r="E26" s="50"/>
      <c r="F26" s="50">
        <f t="shared" si="0"/>
      </c>
    </row>
    <row r="27" spans="1:6" ht="15">
      <c r="A27" s="52">
        <v>27</v>
      </c>
      <c r="B27" s="51" t="s">
        <v>70</v>
      </c>
      <c r="C27" s="50"/>
      <c r="D27" s="51" t="s">
        <v>22</v>
      </c>
      <c r="E27" s="50">
        <v>18</v>
      </c>
      <c r="F27" s="50" t="str">
        <f t="shared" si="0"/>
        <v>Italie</v>
      </c>
    </row>
    <row r="28" spans="1:6" ht="15">
      <c r="A28" s="52">
        <v>28</v>
      </c>
      <c r="B28" s="51" t="s">
        <v>71</v>
      </c>
      <c r="C28" s="50"/>
      <c r="D28" s="51" t="s">
        <v>23</v>
      </c>
      <c r="E28" s="50">
        <v>23</v>
      </c>
      <c r="F28" s="50" t="str">
        <f t="shared" si="0"/>
        <v>Paraguay</v>
      </c>
    </row>
    <row r="29" spans="1:6" ht="15">
      <c r="A29" s="52">
        <v>29</v>
      </c>
      <c r="B29" s="51" t="s">
        <v>72</v>
      </c>
      <c r="C29" s="50"/>
      <c r="D29" s="51" t="s">
        <v>73</v>
      </c>
      <c r="E29" s="50">
        <v>22</v>
      </c>
      <c r="F29" s="50" t="str">
        <f t="shared" si="0"/>
        <v>Nouvelle-Zélande</v>
      </c>
    </row>
    <row r="30" spans="1:6" ht="15">
      <c r="A30" s="52">
        <v>30</v>
      </c>
      <c r="B30" s="51" t="s">
        <v>74</v>
      </c>
      <c r="C30" s="50"/>
      <c r="D30" s="51" t="s">
        <v>75</v>
      </c>
      <c r="E30" s="50">
        <v>29</v>
      </c>
      <c r="F30" s="50" t="str">
        <f t="shared" si="0"/>
        <v>Slovaquie</v>
      </c>
    </row>
    <row r="31" spans="1:6" ht="15">
      <c r="A31" s="52">
        <v>31</v>
      </c>
      <c r="B31" s="51" t="s">
        <v>76</v>
      </c>
      <c r="C31" s="50"/>
      <c r="D31" s="51" t="s">
        <v>77</v>
      </c>
      <c r="E31" s="50"/>
      <c r="F31" s="50">
        <f t="shared" si="0"/>
      </c>
    </row>
    <row r="32" spans="1:6" ht="15">
      <c r="A32" s="52">
        <v>32</v>
      </c>
      <c r="B32" s="51" t="s">
        <v>38</v>
      </c>
      <c r="C32" s="50"/>
      <c r="D32" s="51" t="s">
        <v>24</v>
      </c>
      <c r="E32" s="50">
        <v>7</v>
      </c>
      <c r="F32" s="50" t="str">
        <f t="shared" si="0"/>
        <v>Brésil</v>
      </c>
    </row>
    <row r="33" spans="4:6" ht="15">
      <c r="D33" s="51" t="s">
        <v>25</v>
      </c>
      <c r="E33" s="50">
        <v>26</v>
      </c>
      <c r="F33" s="50" t="str">
        <f t="shared" si="0"/>
        <v>RDP Corée</v>
      </c>
    </row>
    <row r="34" spans="4:6" ht="15">
      <c r="D34" s="51" t="s">
        <v>78</v>
      </c>
      <c r="E34" s="50">
        <v>10</v>
      </c>
      <c r="F34" s="50" t="str">
        <f t="shared" si="0"/>
        <v>Côte d'Ivoire</v>
      </c>
    </row>
    <row r="35" spans="4:6" ht="15">
      <c r="D35" s="51" t="s">
        <v>79</v>
      </c>
      <c r="E35" s="50">
        <v>25</v>
      </c>
      <c r="F35" s="50" t="str">
        <f t="shared" si="0"/>
        <v>Portugal</v>
      </c>
    </row>
    <row r="36" spans="4:6" ht="15">
      <c r="D36" s="51" t="s">
        <v>80</v>
      </c>
      <c r="E36" s="50"/>
      <c r="F36" s="50">
        <f t="shared" si="0"/>
      </c>
    </row>
    <row r="37" spans="4:6" ht="15">
      <c r="D37" s="51" t="s">
        <v>26</v>
      </c>
      <c r="E37" s="50">
        <v>12</v>
      </c>
      <c r="F37" s="50" t="str">
        <f t="shared" si="0"/>
        <v>Espagne</v>
      </c>
    </row>
    <row r="38" spans="4:6" ht="15">
      <c r="D38" s="51" t="s">
        <v>27</v>
      </c>
      <c r="E38" s="50">
        <v>31</v>
      </c>
      <c r="F38" s="50" t="str">
        <f t="shared" si="0"/>
        <v>Suisse</v>
      </c>
    </row>
    <row r="39" spans="4:6" ht="15">
      <c r="D39" s="51" t="s">
        <v>81</v>
      </c>
      <c r="E39" s="50">
        <v>17</v>
      </c>
      <c r="F39" s="50" t="str">
        <f t="shared" si="0"/>
        <v>Honduras</v>
      </c>
    </row>
    <row r="40" spans="4:6" ht="15">
      <c r="D40" s="51" t="s">
        <v>82</v>
      </c>
      <c r="E40" s="50">
        <v>9</v>
      </c>
      <c r="F40" s="50" t="str">
        <f t="shared" si="0"/>
        <v>Chili</v>
      </c>
    </row>
  </sheetData>
  <sheetProtection password="A1C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Roussel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Tavi</cp:lastModifiedBy>
  <cp:lastPrinted>2010-06-07T07:42:15Z</cp:lastPrinted>
  <dcterms:created xsi:type="dcterms:W3CDTF">2009-12-04T11:57:29Z</dcterms:created>
  <dcterms:modified xsi:type="dcterms:W3CDTF">2010-06-07T07:44:13Z</dcterms:modified>
  <cp:category/>
  <cp:version/>
  <cp:contentType/>
  <cp:contentStatus/>
</cp:coreProperties>
</file>